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loonkostenberekening/"/>
    </mc:Choice>
  </mc:AlternateContent>
  <xr:revisionPtr revIDLastSave="78" documentId="8_{632FFB1F-DF93-461D-AA51-BD239C9705E9}" xr6:coauthVersionLast="47" xr6:coauthVersionMax="47" xr10:uidLastSave="{94FB836D-246F-4638-B67C-05EE2D3AF866}"/>
  <workbookProtection workbookAlgorithmName="SHA-512" workbookHashValue="pEom9UXODy4j9IproEF8I+6ZHYI37bKVk10q6u6Vs7v+lKiOzfD4+70jLbqX/sw/zD9Oz7D1dtU4MXTGWS0n+w==" workbookSaltValue="o0o+UV9JrDQqLKcqpnPqmQ==" workbookSpinCount="100000" lockStructure="1"/>
  <bookViews>
    <workbookView xWindow="-120" yWindow="-120" windowWidth="29040" windowHeight="15720" xr2:uid="{00000000-000D-0000-FFFF-FFFF00000000}"/>
  </bookViews>
  <sheets>
    <sheet name="Loonkosten PO" sheetId="5" r:id="rId1"/>
    <sheet name="Specificatie loonkosten" sheetId="6" r:id="rId2"/>
    <sheet name="percentages ed" sheetId="4" state="hidden" r:id="rId3"/>
    <sheet name="salaristabel PO" sheetId="2" state="hidden" r:id="rId4"/>
    <sheet name="Wijzigingen" sheetId="3" r:id="rId5"/>
  </sheets>
  <definedNames>
    <definedName name="A_11">'percentages ed'!$K$3:$K$14</definedName>
    <definedName name="A_12">'percentages ed'!$L$3:$L$14</definedName>
    <definedName name="A_13">'percentages ed'!$M$3:$M$16</definedName>
    <definedName name="_xlnm.Print_Area" localSheetId="1">'Specificatie loonkosten'!$B$1:$J$47</definedName>
    <definedName name="D_12">'percentages ed'!$N$3:$N$14</definedName>
    <definedName name="D_13">'percentages ed'!$O$3:$O$15</definedName>
    <definedName name="D_14">'percentages ed'!$P$3:$P$13</definedName>
    <definedName name="D_15">'percentages ed'!$Q$3:$Q$14</definedName>
    <definedName name="LB">'percentages ed'!$R$3:$R$14</definedName>
    <definedName name="LC">'percentages ed'!$S$3:$S$14</definedName>
    <definedName name="LD">'percentages ed'!$T$3:$T$14</definedName>
    <definedName name="LE">'percentages ed'!$U$3:$U$14</definedName>
    <definedName name="LIO">'percentages ed'!$V$3</definedName>
    <definedName name="schaal">'percentages ed'!$J$3:$J$30</definedName>
    <definedName name="Schaal_1">'percentages ed'!$W$3:$W$9</definedName>
    <definedName name="Schaal_10">'percentages ed'!$AF$3:$AF$14</definedName>
    <definedName name="Schaal_11">'percentages ed'!$AG$3:$AG$14</definedName>
    <definedName name="Schaal_12">'percentages ed'!$AH$3:$AH$14</definedName>
    <definedName name="Schaal_13">'percentages ed'!$AI$3:$AI$15</definedName>
    <definedName name="Schaal_14">'percentages ed'!$AJ$3:$AJ$13</definedName>
    <definedName name="Schaal_15">'percentages ed'!$AK$3:$AK$14</definedName>
    <definedName name="Schaal_16">'percentages ed'!$AL$3:$AL$14</definedName>
    <definedName name="Schaal_17">'percentages ed'!$AM$3:$AM$14</definedName>
    <definedName name="Schaal_2">'percentages ed'!$X$3:$X$10</definedName>
    <definedName name="Schaal_3">'percentages ed'!$Y$3:$Y$11</definedName>
    <definedName name="Schaal_4">'percentages ed'!$Z$3:$Z$13</definedName>
    <definedName name="Schaal_5">'percentages ed'!$AA$3:$AA$13</definedName>
    <definedName name="Schaal_6">'percentages ed'!$AB$3:$AB$13</definedName>
    <definedName name="Schaal_7">'percentages ed'!$AC$3:$AC$14</definedName>
    <definedName name="Schaal_8">'percentages ed'!$AD$3:$AD$14</definedName>
    <definedName name="Schaal_9">'percentages ed'!$AE$3:$AE$12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D42" i="6" s="1"/>
  <c r="B31" i="4"/>
  <c r="D44" i="6" s="1"/>
  <c r="I2" i="4"/>
  <c r="D45" i="6"/>
  <c r="D43" i="6"/>
  <c r="D41" i="6"/>
  <c r="D40" i="6"/>
  <c r="D39" i="6"/>
  <c r="D35" i="6"/>
  <c r="D34" i="6"/>
  <c r="D33" i="6"/>
  <c r="E4" i="6"/>
  <c r="E5" i="6"/>
  <c r="E3" i="6"/>
  <c r="S32" i="2"/>
  <c r="S31" i="2"/>
  <c r="S30" i="2"/>
  <c r="S29" i="2"/>
  <c r="S28" i="2"/>
  <c r="S27" i="2"/>
  <c r="S26" i="2"/>
  <c r="S25" i="2"/>
  <c r="S24" i="2"/>
  <c r="S23" i="2"/>
  <c r="S22" i="2"/>
  <c r="S21" i="2"/>
  <c r="S20" i="2"/>
  <c r="S19" i="2"/>
  <c r="S18" i="2"/>
  <c r="S17" i="2"/>
  <c r="S16" i="2"/>
  <c r="S14" i="2"/>
  <c r="S13" i="2"/>
  <c r="S12" i="2"/>
  <c r="S11" i="2"/>
  <c r="S10" i="2"/>
  <c r="S9" i="2"/>
  <c r="S8" i="2"/>
  <c r="S7" i="2"/>
  <c r="S6" i="2"/>
  <c r="S5" i="2"/>
  <c r="S4" i="2"/>
  <c r="I1" i="4" l="1"/>
  <c r="J1" i="4" s="1"/>
  <c r="D28" i="4" s="1"/>
  <c r="E31" i="4" s="1"/>
  <c r="F25" i="4" l="1"/>
  <c r="F24" i="4"/>
  <c r="C12" i="4" s="1"/>
  <c r="D13" i="6" s="1"/>
  <c r="F26" i="4" l="1"/>
  <c r="C10" i="4" s="1"/>
  <c r="B35" i="4" l="1"/>
  <c r="C14" i="4"/>
  <c r="D15" i="6" s="1"/>
  <c r="F12" i="4"/>
  <c r="H6" i="4"/>
  <c r="C11" i="4" l="1"/>
  <c r="D12" i="6" s="1"/>
  <c r="E32" i="4"/>
  <c r="D25" i="6" s="1"/>
  <c r="H10" i="4"/>
  <c r="H9" i="4"/>
  <c r="H8" i="4"/>
  <c r="H7" i="4"/>
  <c r="F13" i="4"/>
  <c r="F14" i="4" s="1"/>
  <c r="H11" i="4" l="1"/>
  <c r="D24" i="6"/>
  <c r="C13" i="4" l="1"/>
  <c r="D14" i="6" s="1"/>
  <c r="C11" i="5"/>
  <c r="D7" i="4" l="1"/>
  <c r="D9" i="6" s="1"/>
  <c r="C6" i="4"/>
  <c r="D14" i="4" s="1"/>
  <c r="C9" i="4" l="1"/>
  <c r="D11" i="6" s="1"/>
  <c r="D8" i="6"/>
  <c r="C8" i="4"/>
  <c r="D10" i="6" s="1"/>
  <c r="C16" i="4" l="1"/>
  <c r="D18" i="4" s="1"/>
  <c r="D21" i="4" s="1"/>
  <c r="D16" i="6"/>
  <c r="D32" i="6" l="1"/>
  <c r="D17" i="4"/>
  <c r="D20" i="4" s="1"/>
  <c r="D25" i="4" s="1"/>
  <c r="D36" i="6" s="1"/>
  <c r="E21" i="4"/>
  <c r="D20" i="6" s="1"/>
  <c r="E20" i="4" l="1"/>
  <c r="D19" i="6" s="1"/>
  <c r="E29" i="4"/>
  <c r="D22" i="6" s="1"/>
  <c r="E30" i="4"/>
  <c r="D23" i="6" s="1"/>
  <c r="E23" i="4"/>
  <c r="D21" i="6" s="1"/>
  <c r="E33" i="4" l="1"/>
  <c r="D26" i="6"/>
  <c r="D28" i="6" s="1"/>
  <c r="C17" i="5" s="1"/>
  <c r="C15" i="5" l="1"/>
  <c r="C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8" authorId="0" shapeId="0" xr:uid="{00000000-0006-0000-0000-000001000000}">
      <text>
        <r>
          <rPr>
            <b/>
            <sz val="9"/>
            <color indexed="81"/>
            <rFont val="Tahoma"/>
            <family val="2"/>
          </rPr>
          <t xml:space="preserve">Uitlooptoeslag is alleen mogelijk voor de schalen LB, LC, LD en LE regel 12
</t>
        </r>
        <r>
          <rPr>
            <sz val="9"/>
            <color indexed="81"/>
            <rFont val="Tahoma"/>
            <family val="2"/>
          </rPr>
          <t xml:space="preserve">
</t>
        </r>
      </text>
    </comment>
  </commentList>
</comments>
</file>

<file path=xl/sharedStrings.xml><?xml version="1.0" encoding="utf-8"?>
<sst xmlns="http://schemas.openxmlformats.org/spreadsheetml/2006/main" count="448" uniqueCount="303">
  <si>
    <t>Schaal</t>
  </si>
  <si>
    <t>Schaal_4</t>
  </si>
  <si>
    <t>Salarisnummer</t>
  </si>
  <si>
    <t>Werktijdfactor</t>
  </si>
  <si>
    <t>Werktijdfactor Ouderenverlof *</t>
  </si>
  <si>
    <t>Bruto toelage **</t>
  </si>
  <si>
    <t xml:space="preserve">Uitlooptoeslag </t>
  </si>
  <si>
    <t>nee</t>
  </si>
  <si>
    <t>Alleen berekening solidariteitsheffing</t>
  </si>
  <si>
    <t>Bruto maandsalaris</t>
  </si>
  <si>
    <t>Loonkosten per week</t>
  </si>
  <si>
    <t xml:space="preserve">                                                                              </t>
  </si>
  <si>
    <t>Loonkosten per maand</t>
  </si>
  <si>
    <t>Loonkosten per jaar</t>
  </si>
  <si>
    <t xml:space="preserve"> </t>
  </si>
  <si>
    <t>* Werktijdfactor ouderenverlof is exclusief het basisbudget.</t>
  </si>
  <si>
    <t xml:space="preserve">** Hierin kunt u een maandelijke bruto toelage invullen die u samen met betrokkene 
  afspreekt.
</t>
  </si>
  <si>
    <t>Aan deze berekening kunnen geen rechten worden ontleend.</t>
  </si>
  <si>
    <t>Berekeningsbasis</t>
  </si>
  <si>
    <t>Salariscomponenten</t>
  </si>
  <si>
    <t>Bruto salaris</t>
  </si>
  <si>
    <t>Korting ouderenverlof</t>
  </si>
  <si>
    <t>Vakantie-uitkering</t>
  </si>
  <si>
    <t>Eindejaarsuitkering</t>
  </si>
  <si>
    <t>Oktobertoelage</t>
  </si>
  <si>
    <t>Arbeidsmarkttoelage directie</t>
  </si>
  <si>
    <t>Uitlooptoeslag</t>
  </si>
  <si>
    <t>Bruto toelage</t>
  </si>
  <si>
    <t>Totaal bruto</t>
  </si>
  <si>
    <t>Premies</t>
  </si>
  <si>
    <t>Werkgeversdeel premie ABP OP/NP</t>
  </si>
  <si>
    <t>Werkgeversdeel premie ABP AOP</t>
  </si>
  <si>
    <t>Werkgeversbijdrage zorgverzekeringswet</t>
  </si>
  <si>
    <t>Premie AOF (hoog)</t>
  </si>
  <si>
    <t>Premie UFO</t>
  </si>
  <si>
    <t>Premie Vervangingsfonds</t>
  </si>
  <si>
    <t>Premie Participatiefonds</t>
  </si>
  <si>
    <t>Totaal premies</t>
  </si>
  <si>
    <t>Totale loonkosten</t>
  </si>
  <si>
    <t>Grondslagen</t>
  </si>
  <si>
    <t>Pensioengevend inkomen ABP</t>
  </si>
  <si>
    <t>Franchise OP/NP</t>
  </si>
  <si>
    <t>Franchise AOP</t>
  </si>
  <si>
    <t>Maximum premieloon</t>
  </si>
  <si>
    <t>Premiegrondslag</t>
  </si>
  <si>
    <t>Prcentages</t>
  </si>
  <si>
    <t>schaal</t>
  </si>
  <si>
    <t>A_11</t>
  </si>
  <si>
    <t>A_12</t>
  </si>
  <si>
    <t>A_13</t>
  </si>
  <si>
    <t>D_12</t>
  </si>
  <si>
    <t>D_13</t>
  </si>
  <si>
    <t>D_14</t>
  </si>
  <si>
    <t>D_15</t>
  </si>
  <si>
    <t>LB</t>
  </si>
  <si>
    <t>LC</t>
  </si>
  <si>
    <t>LD</t>
  </si>
  <si>
    <t>LE</t>
  </si>
  <si>
    <t>LIO</t>
  </si>
  <si>
    <t>Schaal_1</t>
  </si>
  <si>
    <t>Schaal_2</t>
  </si>
  <si>
    <t>Schaal_3</t>
  </si>
  <si>
    <t>Schaal_5</t>
  </si>
  <si>
    <t>Schaal_6</t>
  </si>
  <si>
    <t>Schaal_7</t>
  </si>
  <si>
    <t>Schaal_8</t>
  </si>
  <si>
    <t>Schaal_9</t>
  </si>
  <si>
    <t>Schaal_10</t>
  </si>
  <si>
    <t>Schaal_11</t>
  </si>
  <si>
    <t>Schaal_12</t>
  </si>
  <si>
    <t>Schaal_13</t>
  </si>
  <si>
    <t>Schaal_14</t>
  </si>
  <si>
    <t>Schaal_15</t>
  </si>
  <si>
    <t>Schaal_16</t>
  </si>
  <si>
    <t>Schaal_17</t>
  </si>
  <si>
    <t>Alleen vette cijfers wijzigen</t>
  </si>
  <si>
    <t>ja</t>
  </si>
  <si>
    <t>c</t>
  </si>
  <si>
    <t>soort</t>
  </si>
  <si>
    <t>percentage</t>
  </si>
  <si>
    <t>totaal</t>
  </si>
  <si>
    <t>A11</t>
  </si>
  <si>
    <t>A12</t>
  </si>
  <si>
    <t>12 X maandsalaris</t>
  </si>
  <si>
    <t>A13</t>
  </si>
  <si>
    <t>BAPO korting</t>
  </si>
  <si>
    <t>Uitlooptoeslag LB</t>
  </si>
  <si>
    <t>vakantiegeld</t>
  </si>
  <si>
    <t>Uitlooptoeslag LC</t>
  </si>
  <si>
    <t>D12</t>
  </si>
  <si>
    <t>eindejaarsuitkering</t>
  </si>
  <si>
    <t>Uitlooptoeslag LD</t>
  </si>
  <si>
    <t>D13</t>
  </si>
  <si>
    <t>Uitlooptoeslag LE</t>
  </si>
  <si>
    <t>D14</t>
  </si>
  <si>
    <t>D15</t>
  </si>
  <si>
    <t>OP schaal L_10</t>
  </si>
  <si>
    <t>OP schaal L_11</t>
  </si>
  <si>
    <t>OP schaal L_12</t>
  </si>
  <si>
    <t>pensioengevende toelage</t>
  </si>
  <si>
    <t>Arbeidsmarkttoelage dir A10/A11</t>
  </si>
  <si>
    <t>OP schaal L_13</t>
  </si>
  <si>
    <t>Arbeidsmarkttoelage dir A12</t>
  </si>
  <si>
    <t>Bruto pensioengevend jaarinkomen</t>
  </si>
  <si>
    <t>Arbeidsmarkttoelage dir D11/D12</t>
  </si>
  <si>
    <t>OOP schaal 1</t>
  </si>
  <si>
    <t>ABP francise</t>
  </si>
  <si>
    <t>grondslag</t>
  </si>
  <si>
    <t>OOP schaal 2</t>
  </si>
  <si>
    <t>ABP AO francise</t>
  </si>
  <si>
    <t>OOP schaal 3</t>
  </si>
  <si>
    <t>wg</t>
  </si>
  <si>
    <t>wn</t>
  </si>
  <si>
    <t>OOP schaal 4</t>
  </si>
  <si>
    <t>ABP OP/NP</t>
  </si>
  <si>
    <t>OOP schaal 5</t>
  </si>
  <si>
    <t>ABP AOP</t>
  </si>
  <si>
    <t>OOP schaal 6</t>
  </si>
  <si>
    <t>OOP schaal 7</t>
  </si>
  <si>
    <t>max loon ZVW</t>
  </si>
  <si>
    <t>OOP schaal 8</t>
  </si>
  <si>
    <t>ZVW premie vergoeding</t>
  </si>
  <si>
    <t>OOP schaal 9</t>
  </si>
  <si>
    <t>OOP schaal 10</t>
  </si>
  <si>
    <t>SVW Loon</t>
  </si>
  <si>
    <t>OOP schaal 11</t>
  </si>
  <si>
    <t>max loon SVW</t>
  </si>
  <si>
    <t>OOP schaal 12</t>
  </si>
  <si>
    <t>OOP schaal 13</t>
  </si>
  <si>
    <t>12*maand+VU (grondslag VF en Participatiefonds)</t>
  </si>
  <si>
    <t>OOP schaal 14</t>
  </si>
  <si>
    <t>AOF premie (hoog)</t>
  </si>
  <si>
    <t>OOP schaal 15</t>
  </si>
  <si>
    <t>UFO premie</t>
  </si>
  <si>
    <t>OOP schaal 16</t>
  </si>
  <si>
    <t>VF premie</t>
  </si>
  <si>
    <t>OOP schaal 17</t>
  </si>
  <si>
    <t>Participatiefonds</t>
  </si>
  <si>
    <t>jaarfactor</t>
  </si>
  <si>
    <t>Salaristabel</t>
  </si>
  <si>
    <t>salaristabellen</t>
  </si>
  <si>
    <t>Invoer</t>
  </si>
  <si>
    <t>regels</t>
  </si>
  <si>
    <t>A_1115</t>
  </si>
  <si>
    <t>A_1215</t>
  </si>
  <si>
    <t>A_1315</t>
  </si>
  <si>
    <t>D_1215</t>
  </si>
  <si>
    <t>D_1316</t>
  </si>
  <si>
    <t>D_1418</t>
  </si>
  <si>
    <t>D_1518</t>
  </si>
  <si>
    <t>L_1015</t>
  </si>
  <si>
    <t>L_1115</t>
  </si>
  <si>
    <t>L_1215</t>
  </si>
  <si>
    <t>L_1315</t>
  </si>
  <si>
    <t>LIOa1</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</si>
  <si>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</si>
  <si>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</si>
  <si>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</si>
  <si>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</si>
  <si>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</si>
  <si>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</si>
  <si>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</si>
  <si>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</si>
  <si>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</si>
  <si>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</si>
  <si>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</si>
  <si>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</si>
  <si>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</si>
  <si>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</si>
  <si>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</si>
  <si>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versie</t>
  </si>
  <si>
    <t>datum</t>
  </si>
  <si>
    <t>wie</t>
  </si>
  <si>
    <t>wijziging</t>
  </si>
  <si>
    <t>1.5.6</t>
  </si>
  <si>
    <t>herman</t>
  </si>
  <si>
    <t>abp premie per 1-4-2016 aangepast</t>
  </si>
  <si>
    <t>1.5.5</t>
  </si>
  <si>
    <t>premies per 1-1-2016 aangepast</t>
  </si>
  <si>
    <t>1.5.4</t>
  </si>
  <si>
    <t>salarisbedragen per 1-1-2015 aangepast, en schaal DA voor speciall onderwijs toegeveogd</t>
  </si>
  <si>
    <t>1.5.3</t>
  </si>
  <si>
    <t>percentage van werktijdfactor ouderen verlof gewijzigd van 25 naar 40 % en van 35 naar 50%
tekst bapo gewijzigd naar ouderenverlof</t>
  </si>
  <si>
    <t>1.5.7</t>
  </si>
  <si>
    <t>peter</t>
  </si>
  <si>
    <t>salarisbedragen aangepast naar cao 1-7-2016</t>
  </si>
  <si>
    <t>1.5.8</t>
  </si>
  <si>
    <t>premie VF aangepast en beperking min wtf ouderenverlof verwijderd</t>
  </si>
  <si>
    <t>1.5.9.</t>
  </si>
  <si>
    <t>premies per 1-1 2017 en min loon aangepast</t>
  </si>
  <si>
    <t>1.5.10</t>
  </si>
  <si>
    <t>permie VF per 1-7-2017 en aanpassing min loon 1-7-2017 en aanpassen partcipatiebaan</t>
  </si>
  <si>
    <t>1.5.11</t>
  </si>
  <si>
    <t>premies per 1-1 2018 en min loon aangepast</t>
  </si>
  <si>
    <t>2.0</t>
  </si>
  <si>
    <t>geconverteerd naar office 2013</t>
  </si>
  <si>
    <t>2.1</t>
  </si>
  <si>
    <t>aangepast cao 1-9-2018</t>
  </si>
  <si>
    <t>2.3</t>
  </si>
  <si>
    <t>grondslag voor berekening premie ZVW aangepast</t>
  </si>
  <si>
    <t>Bapo korting ook bij participatiebaan en ID aangepast naar 40% korting in plaats van 50%</t>
  </si>
  <si>
    <t>Inkomenstoelage weer toegevoegd voor OOP</t>
  </si>
  <si>
    <t>Toelagen geindexeerd met 2,5% (directietoelage, eindejaarsuitkering OOP en uitlooptoeslag)</t>
  </si>
  <si>
    <t>2.4</t>
  </si>
  <si>
    <t>corr fout berekening premie PF en VF</t>
  </si>
  <si>
    <t>2.5</t>
  </si>
  <si>
    <t>keuze mogelijkheid ER VF ingebouwd</t>
  </si>
  <si>
    <t>2.6</t>
  </si>
  <si>
    <t>aanroep schaal 16 hersteld</t>
  </si>
  <si>
    <t>2.7</t>
  </si>
  <si>
    <t>sal bedragen en premies  1-1-2019</t>
  </si>
  <si>
    <t>2.8</t>
  </si>
  <si>
    <t>aanpassing minimum loon per 1-7-2019</t>
  </si>
  <si>
    <t>2.9</t>
  </si>
  <si>
    <t>sal bedragen en premies  1-1-2020</t>
  </si>
  <si>
    <t>2.91</t>
  </si>
  <si>
    <t>L14 was niet te selecteren</t>
  </si>
  <si>
    <t>2.92</t>
  </si>
  <si>
    <t>Schalen A10-A13 en D11-D15 toegevoegd</t>
  </si>
  <si>
    <t>2.93</t>
  </si>
  <si>
    <t>ID1 schaal liep niet tot 9</t>
  </si>
  <si>
    <t>2.94</t>
  </si>
  <si>
    <t>aanpassing minimum loon per 1-7-2020</t>
  </si>
  <si>
    <t>2.95</t>
  </si>
  <si>
    <t>Schalen AB-AE en DA-DE verwijderd en dir toeslag</t>
  </si>
  <si>
    <t>2.96</t>
  </si>
  <si>
    <t>Min loon 2021 en premies 2021</t>
  </si>
  <si>
    <t>2.97</t>
  </si>
  <si>
    <t>Peter</t>
  </si>
  <si>
    <t>Min loon 7- 2021</t>
  </si>
  <si>
    <t>2.98</t>
  </si>
  <si>
    <t>Omvang bestand verkleind</t>
  </si>
  <si>
    <t>2.99</t>
  </si>
  <si>
    <t>Premie Participatiefonds aangepast</t>
  </si>
  <si>
    <t>3.00</t>
  </si>
  <si>
    <t>Wijzigingen januari 2022 doorgevoerd</t>
  </si>
  <si>
    <t>3.01</t>
  </si>
  <si>
    <t>Kleine correcties in salarisbedragen PO</t>
  </si>
  <si>
    <t>3.02</t>
  </si>
  <si>
    <t>Stelselwijziging PO verwerkt</t>
  </si>
  <si>
    <t>3.03</t>
  </si>
  <si>
    <t>Aanloopschalen toegevoegd</t>
  </si>
  <si>
    <t>3.04</t>
  </si>
  <si>
    <t>cao akkoord toegevoegd (salaristabel plus 4,75%</t>
  </si>
  <si>
    <t>premie PF op 0% gesteld</t>
  </si>
  <si>
    <t>3.05</t>
  </si>
  <si>
    <t>afrondingsverschillen salaristabel verwerkt na publicatie salaristabel</t>
  </si>
  <si>
    <t>3.06</t>
  </si>
  <si>
    <t>bindingstoelage werd niet berekend bij leraren in hoogste trede</t>
  </si>
  <si>
    <t>3.07</t>
  </si>
  <si>
    <t>Verklaring berekeningen toegevoegd</t>
  </si>
  <si>
    <t>3.08</t>
  </si>
  <si>
    <t>premies 1-1-2023</t>
  </si>
  <si>
    <t>3.09</t>
  </si>
  <si>
    <t>Mirvenn</t>
  </si>
  <si>
    <t>Aanpassing minimumloon per 2023</t>
  </si>
  <si>
    <t>3.10</t>
  </si>
  <si>
    <t>Vervallen aanloopregels (o.a. schaal LE en D13) verwijderd</t>
  </si>
  <si>
    <t>3.11</t>
  </si>
  <si>
    <t>Wijziging cao 1-7-2023</t>
  </si>
  <si>
    <t>3.12</t>
  </si>
  <si>
    <t>EJU OOP geindexeerd</t>
  </si>
  <si>
    <t>3.13</t>
  </si>
  <si>
    <t>Omid</t>
  </si>
  <si>
    <t>WML per 1-1-24 aangepast naar 2300</t>
  </si>
  <si>
    <t>Salarisbedragen en premies 2024 aangepast</t>
  </si>
  <si>
    <t>3.15</t>
  </si>
  <si>
    <t>Salariisbedragen aangepast i.v.m. stijging wettelijk minimum uurloon</t>
  </si>
  <si>
    <t>3.16</t>
  </si>
  <si>
    <t>Onderhandelaarsakkoord cao PO verwerkt</t>
  </si>
  <si>
    <t>ID-schhalen verwijderd</t>
  </si>
  <si>
    <t>3.17</t>
  </si>
  <si>
    <t>Tabblad specificatie toegevoegd en fout in oktobertoelage bij OOP gecorrigeerd</t>
  </si>
  <si>
    <t>3.18</t>
  </si>
  <si>
    <t>Bedragen uitlooptoeslag geindexeerd</t>
  </si>
  <si>
    <t>Bedrage n 2025 aangepast</t>
  </si>
  <si>
    <t>202501a</t>
  </si>
  <si>
    <t>Correctie op oktobertoelage OOP plus wettelijk minimumloon aangepast</t>
  </si>
  <si>
    <t>202501b</t>
  </si>
  <si>
    <t>Correctie WML naar 2446,44</t>
  </si>
  <si>
    <t>Volledige aansluiting (4,3%)</t>
  </si>
  <si>
    <t>Volledig eigen risicodrager (0%)</t>
  </si>
  <si>
    <t>Financiele variant 14 wachtdagen (2,8%)</t>
  </si>
  <si>
    <t>Financiele variant 42 wachtdagen (1,9%)</t>
  </si>
  <si>
    <t>Stop-loss 80% (0,3%)</t>
  </si>
  <si>
    <t>Stop-loss 100% (0,1%)</t>
  </si>
  <si>
    <t>VF verzekering</t>
  </si>
  <si>
    <t>Verschillende varianten verzekering VF toegevoegd</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</si>
  <si>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</si>
  <si>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</si>
  <si>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202507a</t>
  </si>
  <si>
    <t>Correctie premie VF</t>
  </si>
  <si>
    <t>Tekstuele wijzigingen. Schaal A10 en D11 vervallen. Wijziging minimum salarisbedrag € 2505,60</t>
  </si>
  <si>
    <t>oktobertoelage  1-8</t>
  </si>
  <si>
    <t>oktobertoelage  =&gt;9</t>
  </si>
  <si>
    <t>Wijziging cao verwerkt</t>
  </si>
  <si>
    <t>Op voorblad foutieve weergave loonkosten per jaar (en daardoor ook per maand en week) hersteld</t>
  </si>
  <si>
    <t>Percentage 2026 aangepast</t>
  </si>
  <si>
    <t>Premie AOF (hoog) incl. premie WKO</t>
  </si>
  <si>
    <t>Indicatie Loonkostenberekening 2026 (PO)  202607</t>
  </si>
  <si>
    <t>Deze indicatie werkt met de salarisbedragen en premies per 01-07-2026.</t>
  </si>
  <si>
    <t>Bij de lagere schalen in het Primair Onderwijs wordt gerekend met het bedrag dat gebaseerd is op het wettelijk minimum uurloon voor medewerkers van 21 jaar en ouder (€ 14,99 bruto per uur). Bij een volledige betrekking is dit een salaris van € 2.608,26.</t>
  </si>
  <si>
    <t>Harmonisatie schaal 10 OOP en wijziging WML per 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</si>
</sst>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0.0000"/>
    <numFmt numFmtId="165" formatCode="#0.00"/>
    <numFmt numFmtId="166" formatCode="#,##0.00_ ;\-#,##0.00\ "/>
    <numFmt numFmtId="167" formatCode="_-[$€-2]\ * #,##0.00_-;_-[$€-2]\ * #,##0.00\-;_-[$€-2]\ * &quot;-&quot;??_-;_-@_-"/>
    <numFmt numFmtId="168" formatCode="0.000"/>
    <numFmt numFmtId="169" formatCode="_ [$€-2]\ * #,##0.00_ ;_ [$€-2]\ * \-#,##0.00_ ;_ [$€-2]\ * &quot;-&quot;??_ ;_ @_ "/>
    <numFmt numFmtId="170" formatCode="&quot;€&quot;\ #,##0.00"/>
  </numFmts>
  <fonts count="23" x14ac:knownFonts="1">
    <font>
      <sz val="11"/>
      <color theme="1"/>
      <name val="Calibri"/>
      <family val="2"/>
      <scheme val="minor"/>
    </font>
    <font>
      <sz val="11"/>
      <color theme="1"/>
      <name val="Arial"/>
      <family val="2"/>
    </font>
    <font>
      <b/>
      <sz val="12"/>
      <name val="Arial"/>
      <family val="2"/>
    </font>
    <font>
      <sz val="10"/>
      <name val="Arial"/>
      <family val="2"/>
    </font>
    <font>
      <b/>
      <sz val="10"/>
      <name val="Arial"/>
      <family val="2"/>
    </font>
    <font>
      <sz val="9"/>
      <name val="Arial"/>
      <family val="2"/>
    </font>
    <font>
      <b/>
      <sz val="9"/>
      <name val="Calibri"/>
      <family val="2"/>
    </font>
    <font>
      <sz val="9"/>
      <name val="Calibri"/>
      <family val="2"/>
    </font>
    <font>
      <i/>
      <sz val="9"/>
      <name val="Calibri"/>
      <family val="2"/>
    </font>
    <font>
      <sz val="9"/>
      <color indexed="81"/>
      <name val="Tahoma"/>
      <family val="2"/>
    </font>
    <font>
      <sz val="11"/>
      <name val="Arial"/>
      <family val="2"/>
    </font>
    <font>
      <b/>
      <sz val="9"/>
      <color indexed="81"/>
      <name val="Tahoma"/>
      <family val="2"/>
    </font>
    <font>
      <sz val="11"/>
      <color theme="1"/>
      <name val="Calibri"/>
      <family val="2"/>
      <scheme val="minor"/>
    </font>
    <font>
      <sz val="10"/>
      <color theme="1" tint="0.499984740745262"/>
      <name val="Calibri"/>
      <family val="2"/>
    </font>
    <font>
      <sz val="10"/>
      <color theme="1" tint="0.499984740745262"/>
      <name val="Arial"/>
      <family val="2"/>
    </font>
    <font>
      <sz val="10"/>
      <color theme="1"/>
      <name val="Arial"/>
      <family val="2"/>
    </font>
    <font>
      <sz val="11"/>
      <color theme="0" tint="-0.249977111117893"/>
      <name val="Calibri"/>
      <family val="2"/>
      <scheme val="minor"/>
    </font>
    <font>
      <sz val="10"/>
      <name val="Calibri"/>
      <family val="2"/>
    </font>
    <font>
      <sz val="10"/>
      <color indexed="8"/>
      <name val="Calibri"/>
      <family val="2"/>
    </font>
    <font>
      <b/>
      <sz val="10"/>
      <color theme="1"/>
      <name val="Arial"/>
      <family val="2"/>
    </font>
    <font>
      <b/>
      <sz val="11"/>
      <color theme="1"/>
      <name val="Calibri"/>
      <family val="2"/>
      <scheme val="minor"/>
    </font>
    <font>
      <b/>
      <sz val="11"/>
      <color rgb="FFFF0000"/>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rgb="FF99CCFF"/>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120">
    <xf numFmtId="0" fontId="0" fillId="0" borderId="0" xfId="0"/>
    <xf numFmtId="0" fontId="3" fillId="0" borderId="0" xfId="0" applyFont="1"/>
    <xf numFmtId="0" fontId="3" fillId="2" borderId="0" xfId="0" applyFont="1" applyFill="1" applyAlignment="1" applyProtection="1">
      <alignment horizontal="left"/>
      <protection locked="0"/>
    </xf>
    <xf numFmtId="14" fontId="4" fillId="0" borderId="0" xfId="0" applyNumberFormat="1" applyFont="1"/>
    <xf numFmtId="0" fontId="4" fillId="0" borderId="0" xfId="0" applyFont="1"/>
    <xf numFmtId="0" fontId="3" fillId="2" borderId="1" xfId="0" applyFont="1" applyFill="1" applyBorder="1" applyAlignment="1" applyProtection="1">
      <alignment horizontal="left"/>
      <protection locked="0"/>
    </xf>
    <xf numFmtId="164" fontId="3" fillId="2" borderId="1" xfId="0" applyNumberFormat="1" applyFont="1" applyFill="1" applyBorder="1" applyAlignment="1" applyProtection="1">
      <alignment horizontal="left"/>
      <protection locked="0"/>
    </xf>
    <xf numFmtId="2" fontId="0" fillId="0" borderId="0" xfId="0" applyNumberFormat="1"/>
    <xf numFmtId="166" fontId="0" fillId="0" borderId="0" xfId="0" applyNumberFormat="1"/>
    <xf numFmtId="1" fontId="4" fillId="0" borderId="0" xfId="0" applyNumberFormat="1" applyFont="1"/>
    <xf numFmtId="0" fontId="5" fillId="3" borderId="0" xfId="0" applyFont="1" applyFill="1" applyAlignment="1">
      <alignment horizontal="center"/>
    </xf>
    <xf numFmtId="166" fontId="3" fillId="0" borderId="0" xfId="0" applyNumberFormat="1" applyFont="1"/>
    <xf numFmtId="166" fontId="3" fillId="4" borderId="0" xfId="0" applyNumberFormat="1" applyFont="1" applyFill="1"/>
    <xf numFmtId="167" fontId="3" fillId="2" borderId="0" xfId="0" applyNumberFormat="1" applyFont="1" applyFill="1" applyProtection="1">
      <protection hidden="1"/>
    </xf>
    <xf numFmtId="167" fontId="0" fillId="3" borderId="0" xfId="0" applyNumberFormat="1" applyFill="1"/>
    <xf numFmtId="0" fontId="0" fillId="0" borderId="0" xfId="0" applyAlignment="1">
      <alignment horizontal="center"/>
    </xf>
    <xf numFmtId="165" fontId="4" fillId="6" borderId="0" xfId="0" applyNumberFormat="1" applyFont="1" applyFill="1"/>
    <xf numFmtId="166" fontId="3" fillId="0" borderId="0" xfId="0" applyNumberFormat="1" applyFont="1" applyAlignment="1">
      <alignment horizontal="right"/>
    </xf>
    <xf numFmtId="0" fontId="0" fillId="0" borderId="0" xfId="0" applyAlignment="1">
      <alignment horizontal="right"/>
    </xf>
    <xf numFmtId="10" fontId="4" fillId="6" borderId="0" xfId="0" applyNumberFormat="1" applyFont="1" applyFill="1"/>
    <xf numFmtId="2" fontId="3" fillId="0" borderId="0" xfId="0" applyNumberFormat="1" applyFont="1"/>
    <xf numFmtId="2" fontId="3" fillId="4" borderId="0" xfId="0" applyNumberFormat="1" applyFont="1" applyFill="1"/>
    <xf numFmtId="10" fontId="4" fillId="0" borderId="0" xfId="0" applyNumberFormat="1" applyFont="1"/>
    <xf numFmtId="4" fontId="4" fillId="6" borderId="0" xfId="0" applyNumberFormat="1" applyFont="1" applyFill="1" applyAlignment="1">
      <alignment horizontal="center"/>
    </xf>
    <xf numFmtId="0" fontId="3" fillId="0" borderId="0" xfId="0" applyFont="1" applyAlignment="1">
      <alignment horizontal="right"/>
    </xf>
    <xf numFmtId="165" fontId="0" fillId="5" borderId="0" xfId="0" applyNumberFormat="1" applyFill="1"/>
    <xf numFmtId="10" fontId="4" fillId="6" borderId="0" xfId="0" applyNumberFormat="1" applyFont="1" applyFill="1" applyAlignment="1">
      <alignment horizontal="center"/>
    </xf>
    <xf numFmtId="168" fontId="0" fillId="0" borderId="0" xfId="0" applyNumberFormat="1"/>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16" fontId="6" fillId="0" borderId="0" xfId="0" applyNumberFormat="1" applyFont="1" applyAlignment="1">
      <alignment horizontal="center"/>
    </xf>
    <xf numFmtId="9" fontId="6" fillId="0" borderId="0" xfId="1" applyFont="1" applyFill="1" applyBorder="1" applyAlignment="1" applyProtection="1">
      <alignment horizontal="left"/>
    </xf>
    <xf numFmtId="1" fontId="6" fillId="0" borderId="0" xfId="0" applyNumberFormat="1" applyFont="1" applyAlignment="1">
      <alignment horizontal="center"/>
    </xf>
    <xf numFmtId="49" fontId="13" fillId="8" borderId="0" xfId="0" applyNumberFormat="1" applyFont="1" applyFill="1" applyAlignment="1">
      <alignment horizontal="left"/>
    </xf>
    <xf numFmtId="49" fontId="8" fillId="0" borderId="0" xfId="0" applyNumberFormat="1" applyFont="1" applyAlignment="1">
      <alignment horizontal="center"/>
    </xf>
    <xf numFmtId="3" fontId="7" fillId="0" borderId="0" xfId="0" applyNumberFormat="1" applyFont="1" applyAlignment="1">
      <alignment horizontal="left"/>
    </xf>
    <xf numFmtId="0" fontId="13" fillId="8" borderId="0" xfId="0" applyFont="1" applyFill="1" applyAlignment="1">
      <alignment horizontal="left"/>
    </xf>
    <xf numFmtId="0" fontId="8" fillId="0" borderId="0" xfId="0" applyFont="1" applyAlignment="1">
      <alignment horizontal="center"/>
    </xf>
    <xf numFmtId="49" fontId="14" fillId="10" borderId="0" xfId="0" applyNumberFormat="1" applyFont="1" applyFill="1" applyAlignment="1">
      <alignment horizontal="left"/>
    </xf>
    <xf numFmtId="0" fontId="14" fillId="10" borderId="0" xfId="0" applyFont="1" applyFill="1" applyAlignment="1">
      <alignment horizontal="left"/>
    </xf>
    <xf numFmtId="0" fontId="0" fillId="11" borderId="0" xfId="0" applyFill="1"/>
    <xf numFmtId="0" fontId="3" fillId="11" borderId="0" xfId="0" applyFont="1" applyFill="1" applyAlignment="1">
      <alignment horizontal="right"/>
    </xf>
    <xf numFmtId="0" fontId="3" fillId="11" borderId="0" xfId="0" applyFont="1" applyFill="1"/>
    <xf numFmtId="0" fontId="5" fillId="11" borderId="0" xfId="0" applyFont="1" applyFill="1" applyAlignment="1">
      <alignment horizontal="center"/>
    </xf>
    <xf numFmtId="167" fontId="3" fillId="11" borderId="0" xfId="0" applyNumberFormat="1" applyFont="1" applyFill="1" applyProtection="1">
      <protection hidden="1"/>
    </xf>
    <xf numFmtId="0" fontId="2" fillId="3" borderId="0" xfId="0" applyFont="1" applyFill="1" applyAlignment="1">
      <alignment horizontal="center" vertical="top"/>
    </xf>
    <xf numFmtId="0" fontId="15" fillId="11" borderId="0" xfId="0" applyFont="1" applyFill="1"/>
    <xf numFmtId="0" fontId="3" fillId="11" borderId="0" xfId="0" applyFont="1" applyFill="1" applyAlignment="1">
      <alignment vertical="center"/>
    </xf>
    <xf numFmtId="14" fontId="3" fillId="0" borderId="0" xfId="0" applyNumberFormat="1" applyFont="1"/>
    <xf numFmtId="14" fontId="3" fillId="0" borderId="0" xfId="0" applyNumberFormat="1" applyFont="1" applyAlignment="1">
      <alignment horizontal="right"/>
    </xf>
    <xf numFmtId="0" fontId="0" fillId="0" borderId="0" xfId="0" applyAlignment="1">
      <alignment vertical="top"/>
    </xf>
    <xf numFmtId="14" fontId="0" fillId="0" borderId="0" xfId="0" applyNumberFormat="1" applyAlignment="1">
      <alignment horizontal="right" vertical="top"/>
    </xf>
    <xf numFmtId="0" fontId="3" fillId="0" borderId="0" xfId="0" applyFont="1" applyAlignment="1">
      <alignment wrapText="1"/>
    </xf>
    <xf numFmtId="14" fontId="0" fillId="0" borderId="0" xfId="0" applyNumberFormat="1"/>
    <xf numFmtId="1" fontId="3" fillId="8" borderId="2" xfId="0" applyNumberFormat="1" applyFont="1" applyFill="1" applyBorder="1"/>
    <xf numFmtId="167" fontId="3" fillId="2" borderId="1" xfId="0" applyNumberFormat="1" applyFont="1" applyFill="1" applyBorder="1" applyProtection="1">
      <protection locked="0" hidden="1"/>
    </xf>
    <xf numFmtId="0" fontId="15" fillId="11" borderId="0" xfId="0" applyFont="1" applyFill="1" applyAlignment="1">
      <alignment horizontal="right"/>
    </xf>
    <xf numFmtId="2" fontId="3" fillId="13" borderId="0" xfId="0" applyNumberFormat="1" applyFont="1" applyFill="1"/>
    <xf numFmtId="169" fontId="3" fillId="14" borderId="0" xfId="0" applyNumberFormat="1" applyFont="1" applyFill="1"/>
    <xf numFmtId="4" fontId="4" fillId="12" borderId="0" xfId="0" applyNumberFormat="1" applyFont="1" applyFill="1" applyAlignment="1">
      <alignment horizontal="center"/>
    </xf>
    <xf numFmtId="0" fontId="15" fillId="0" borderId="1" xfId="0" applyFont="1" applyBorder="1" applyAlignment="1" applyProtection="1">
      <alignment horizontal="center" vertical="top"/>
      <protection locked="0"/>
    </xf>
    <xf numFmtId="0" fontId="3" fillId="16" borderId="0" xfId="0" applyFont="1" applyFill="1" applyAlignment="1" applyProtection="1">
      <alignment horizontal="center"/>
      <protection locked="0"/>
    </xf>
    <xf numFmtId="2" fontId="4" fillId="17" borderId="0" xfId="0" applyNumberFormat="1" applyFont="1" applyFill="1" applyAlignment="1">
      <alignment horizontal="center"/>
    </xf>
    <xf numFmtId="9" fontId="4" fillId="17" borderId="0" xfId="0" applyNumberFormat="1" applyFont="1" applyFill="1"/>
    <xf numFmtId="10" fontId="4" fillId="17" borderId="0" xfId="0" applyNumberFormat="1" applyFont="1" applyFill="1" applyAlignment="1">
      <alignment horizontal="center"/>
    </xf>
    <xf numFmtId="49" fontId="17" fillId="0" borderId="0" xfId="0" applyNumberFormat="1" applyFont="1" applyAlignment="1">
      <alignment horizontal="left"/>
    </xf>
    <xf numFmtId="49" fontId="10" fillId="8" borderId="0" xfId="0" applyNumberFormat="1" applyFont="1" applyFill="1" applyAlignment="1">
      <alignment horizontal="left"/>
    </xf>
    <xf numFmtId="49" fontId="14" fillId="8" borderId="0" xfId="0" applyNumberFormat="1" applyFont="1" applyFill="1" applyAlignment="1">
      <alignment horizontal="left"/>
    </xf>
    <xf numFmtId="49" fontId="18" fillId="0" borderId="0" xfId="0" applyNumberFormat="1" applyFont="1" applyAlignment="1">
      <alignment horizontal="left"/>
    </xf>
    <xf numFmtId="14" fontId="6" fillId="7" borderId="0" xfId="0" applyNumberFormat="1" applyFont="1" applyFill="1" applyAlignment="1">
      <alignment horizontal="center"/>
    </xf>
    <xf numFmtId="1" fontId="6" fillId="0" borderId="0" xfId="0" applyNumberFormat="1" applyFont="1" applyAlignment="1">
      <alignment horizontal="left"/>
    </xf>
    <xf numFmtId="49" fontId="7" fillId="0" borderId="0" xfId="0" applyNumberFormat="1" applyFont="1" applyAlignment="1">
      <alignment horizontal="left"/>
    </xf>
    <xf numFmtId="0" fontId="18" fillId="0" borderId="0" xfId="0" applyFont="1" applyAlignment="1">
      <alignment horizontal="left"/>
    </xf>
    <xf numFmtId="0" fontId="17" fillId="0" borderId="0" xfId="0" applyFont="1" applyAlignment="1">
      <alignment horizontal="left"/>
    </xf>
    <xf numFmtId="3" fontId="7" fillId="9" borderId="0" xfId="0" applyNumberFormat="1" applyFont="1" applyFill="1" applyAlignment="1">
      <alignment horizontal="center"/>
    </xf>
    <xf numFmtId="10" fontId="1" fillId="10" borderId="0" xfId="0" applyNumberFormat="1" applyFont="1" applyFill="1"/>
    <xf numFmtId="0" fontId="3" fillId="0" borderId="0" xfId="0" applyFont="1" applyAlignment="1">
      <alignment horizontal="left"/>
    </xf>
    <xf numFmtId="0" fontId="1" fillId="10" borderId="0" xfId="0" applyFont="1" applyFill="1"/>
    <xf numFmtId="0" fontId="0" fillId="8" borderId="0" xfId="0" applyFill="1"/>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9" xfId="0" applyFill="1" applyBorder="1"/>
    <xf numFmtId="0" fontId="0" fillId="8" borderId="10" xfId="0" applyFill="1" applyBorder="1"/>
    <xf numFmtId="0" fontId="20" fillId="8" borderId="3" xfId="0" applyFont="1" applyFill="1" applyBorder="1"/>
    <xf numFmtId="0" fontId="20" fillId="8" borderId="0" xfId="0" applyFont="1" applyFill="1" applyAlignment="1">
      <alignment horizontal="right"/>
    </xf>
    <xf numFmtId="0" fontId="20" fillId="8" borderId="0" xfId="0" applyFont="1" applyFill="1"/>
    <xf numFmtId="164" fontId="20" fillId="8" borderId="9" xfId="0" applyNumberFormat="1" applyFont="1" applyFill="1" applyBorder="1"/>
    <xf numFmtId="0" fontId="20" fillId="8" borderId="6" xfId="0" applyFont="1" applyFill="1" applyBorder="1"/>
    <xf numFmtId="0" fontId="20" fillId="8" borderId="8" xfId="0" applyFont="1" applyFill="1" applyBorder="1"/>
    <xf numFmtId="44" fontId="20" fillId="8" borderId="0" xfId="0" applyNumberFormat="1" applyFont="1" applyFill="1"/>
    <xf numFmtId="44" fontId="20" fillId="8" borderId="9" xfId="0" applyNumberFormat="1" applyFont="1" applyFill="1" applyBorder="1"/>
    <xf numFmtId="44" fontId="21" fillId="8" borderId="0" xfId="0" applyNumberFormat="1" applyFont="1" applyFill="1"/>
    <xf numFmtId="170" fontId="20" fillId="8" borderId="0" xfId="0" applyNumberFormat="1" applyFont="1" applyFill="1"/>
    <xf numFmtId="170" fontId="20" fillId="8" borderId="9" xfId="0" applyNumberFormat="1" applyFont="1" applyFill="1" applyBorder="1"/>
    <xf numFmtId="10" fontId="20" fillId="8" borderId="0" xfId="0" applyNumberFormat="1" applyFont="1" applyFill="1"/>
    <xf numFmtId="10" fontId="20" fillId="8" borderId="9" xfId="0" applyNumberFormat="1" applyFont="1" applyFill="1" applyBorder="1"/>
    <xf numFmtId="0" fontId="22" fillId="8" borderId="0" xfId="0" applyFont="1" applyFill="1"/>
    <xf numFmtId="0" fontId="1" fillId="15" borderId="0" xfId="0" quotePrefix="1" applyFont="1" applyFill="1"/>
    <xf numFmtId="0" fontId="1" fillId="10" borderId="0" xfId="0" quotePrefix="1" applyFont="1" applyFill="1"/>
    <xf numFmtId="0" fontId="1" fillId="12" borderId="0" xfId="0" applyFont="1" applyFill="1"/>
    <xf numFmtId="0" fontId="1" fillId="8" borderId="2" xfId="0" quotePrefix="1" applyFont="1" applyFill="1" applyBorder="1"/>
    <xf numFmtId="0" fontId="1" fillId="15" borderId="0" xfId="0" applyFont="1" applyFill="1"/>
    <xf numFmtId="0" fontId="0" fillId="0" borderId="0" xfId="0" applyAlignment="1">
      <alignment horizontal="left"/>
    </xf>
    <xf numFmtId="10" fontId="0" fillId="12" borderId="0" xfId="0" applyNumberFormat="1" applyFill="1"/>
    <xf numFmtId="9" fontId="1" fillId="12" borderId="0" xfId="0" applyNumberFormat="1" applyFont="1" applyFill="1"/>
    <xf numFmtId="10" fontId="1" fillId="12" borderId="0" xfId="0" applyNumberFormat="1" applyFont="1" applyFill="1"/>
    <xf numFmtId="0" fontId="15" fillId="11" borderId="0" xfId="0" applyFont="1" applyFill="1" applyAlignment="1">
      <alignment vertical="top" wrapText="1"/>
    </xf>
    <xf numFmtId="0" fontId="15" fillId="0" borderId="0" xfId="0" applyFont="1"/>
    <xf numFmtId="0" fontId="16" fillId="11" borderId="0" xfId="0" applyFont="1" applyFill="1"/>
    <xf numFmtId="0" fontId="16" fillId="0" borderId="0" xfId="0" applyFont="1"/>
    <xf numFmtId="0" fontId="15" fillId="11" borderId="0" xfId="0" applyFont="1" applyFill="1" applyAlignment="1">
      <alignment wrapText="1"/>
    </xf>
    <xf numFmtId="0" fontId="0" fillId="0" borderId="0" xfId="0" applyAlignment="1">
      <alignment wrapText="1"/>
    </xf>
    <xf numFmtId="0" fontId="3" fillId="11" borderId="0" xfId="0" applyFont="1" applyFill="1" applyAlignment="1">
      <alignment vertical="center" wrapText="1"/>
    </xf>
    <xf numFmtId="0" fontId="15" fillId="11" borderId="0" xfId="0" applyFont="1" applyFill="1"/>
    <xf numFmtId="0" fontId="0" fillId="0" borderId="0" xfId="0"/>
    <xf numFmtId="0" fontId="3" fillId="11" borderId="0" xfId="0" applyFont="1" applyFill="1" applyAlignment="1">
      <alignment horizontal="left" vertical="center"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2</xdr:row>
      <xdr:rowOff>85725</xdr:rowOff>
    </xdr:from>
    <xdr:ext cx="2009775" cy="590550"/>
    <xdr:pic>
      <xdr:nvPicPr>
        <xdr:cNvPr id="2" name="Afbeelding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76200</xdr:colOff>
      <xdr:row>0</xdr:row>
      <xdr:rowOff>57150</xdr:rowOff>
    </xdr:from>
    <xdr:ext cx="2009775" cy="590550"/>
    <xdr:pic>
      <xdr:nvPicPr>
        <xdr:cNvPr id="2" name="Afbeelding 2">
          <a:extLst>
            <a:ext uri="{FF2B5EF4-FFF2-40B4-BE49-F238E27FC236}">
              <a16:creationId xmlns:a16="http://schemas.microsoft.com/office/drawing/2014/main" id="{3F2043F1-0CA2-4020-9EEE-16EC595F1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571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8"/>
  <sheetViews>
    <sheetView showGridLines="0" showRowColHeaders="0" tabSelected="1" workbookViewId="0">
      <selection activeCell="C5" sqref="C5"/>
      <extLst>
        <ext xmlns:xlsdti="http://schemas.microsoft.com/office/spreadsheetml/2023/showDataTypeIcons" uri="{77bfe23e-c014-4d31-8a63-9c772dbf06b6}">
          <xlsdti:showDataTypeIcons visible="0"/>
        </ext>
      </extLst>
    </sheetView>
  </sheetViews>
  <sheetFormatPr defaultColWidth="0" defaultRowHeight="15" zeroHeight="1" x14ac:dyDescent="0.25"/>
  <cols>
    <col min="1" max="2" width="9.140625" customWidth="1"/>
    <col min="3" max="3" width="40.140625" customWidth="1"/>
    <col min="4" max="5" width="9.140625" customWidth="1"/>
    <col min="6" max="6" width="21.85546875" customWidth="1"/>
    <col min="7" max="16383" width="6" hidden="1"/>
    <col min="16384" max="16384" width="9.140625" hidden="1"/>
  </cols>
  <sheetData>
    <row r="1" spans="1:6" x14ac:dyDescent="0.25">
      <c r="A1" s="42"/>
      <c r="B1" s="42"/>
      <c r="C1" s="42"/>
      <c r="D1" s="42"/>
      <c r="E1" s="42"/>
      <c r="F1" s="42"/>
    </row>
    <row r="2" spans="1:6" ht="15.75" x14ac:dyDescent="0.25">
      <c r="A2" s="42"/>
      <c r="B2" s="42"/>
      <c r="C2" s="47" t="s">
        <v>299</v>
      </c>
      <c r="D2" s="42"/>
      <c r="E2" s="42"/>
      <c r="F2" s="42"/>
    </row>
    <row r="3" spans="1:6" x14ac:dyDescent="0.25">
      <c r="A3" s="42"/>
      <c r="B3" s="43" t="s">
        <v>0</v>
      </c>
      <c r="C3" s="2" t="s">
        <v>54</v>
      </c>
      <c r="D3" s="44"/>
      <c r="E3" s="44"/>
      <c r="F3" s="42"/>
    </row>
    <row r="4" spans="1:6" x14ac:dyDescent="0.25">
      <c r="A4" s="42"/>
      <c r="B4" s="43" t="s">
        <v>2</v>
      </c>
      <c r="C4" s="5">
        <v>12</v>
      </c>
      <c r="D4" s="44"/>
      <c r="E4" s="44"/>
      <c r="F4" s="42"/>
    </row>
    <row r="5" spans="1:6" x14ac:dyDescent="0.25">
      <c r="A5" s="42"/>
      <c r="B5" s="43" t="s">
        <v>3</v>
      </c>
      <c r="C5" s="6">
        <v>0.5</v>
      </c>
      <c r="D5" s="44"/>
      <c r="E5" s="44"/>
      <c r="F5" s="42"/>
    </row>
    <row r="6" spans="1:6" x14ac:dyDescent="0.25">
      <c r="A6" s="42"/>
      <c r="B6" s="43" t="s">
        <v>4</v>
      </c>
      <c r="C6" s="6"/>
      <c r="D6" s="44"/>
      <c r="E6" s="44"/>
      <c r="F6" s="42"/>
    </row>
    <row r="7" spans="1:6" x14ac:dyDescent="0.25">
      <c r="A7" s="42"/>
      <c r="B7" s="43" t="s">
        <v>5</v>
      </c>
      <c r="C7" s="57"/>
      <c r="D7" s="44"/>
      <c r="E7" s="44"/>
      <c r="F7" s="42"/>
    </row>
    <row r="8" spans="1:6" x14ac:dyDescent="0.25">
      <c r="A8" s="42"/>
      <c r="B8" s="58" t="s">
        <v>6</v>
      </c>
      <c r="C8" s="62" t="s">
        <v>7</v>
      </c>
      <c r="D8" s="42"/>
      <c r="E8" s="42"/>
      <c r="F8" s="42"/>
    </row>
    <row r="9" spans="1:6" x14ac:dyDescent="0.25">
      <c r="A9" s="42"/>
      <c r="B9" s="43" t="s">
        <v>286</v>
      </c>
      <c r="C9" s="63" t="s">
        <v>281</v>
      </c>
      <c r="D9" s="112" t="s">
        <v>8</v>
      </c>
      <c r="E9" s="113"/>
      <c r="F9" s="113"/>
    </row>
    <row r="10" spans="1:6" x14ac:dyDescent="0.25">
      <c r="A10" s="42"/>
      <c r="B10" s="43"/>
      <c r="C10" s="10"/>
      <c r="D10" s="42"/>
      <c r="E10" s="45"/>
      <c r="F10" s="42"/>
    </row>
    <row r="11" spans="1:6" x14ac:dyDescent="0.25">
      <c r="A11" s="42"/>
      <c r="B11" s="43" t="s">
        <v>9</v>
      </c>
      <c r="C11" s="13">
        <f>IF('percentages ed'!I2=0,0,((VLOOKUP('percentages ed'!I2,'salaristabel PO'!A4:R32,'percentages ed'!J1+2,0)+'percentages ed'!H11)*C5))</f>
        <v>2760</v>
      </c>
      <c r="D11" s="42"/>
      <c r="E11" s="46"/>
      <c r="F11" s="42"/>
    </row>
    <row r="12" spans="1:6" x14ac:dyDescent="0.25">
      <c r="A12" s="42"/>
      <c r="B12" s="42"/>
      <c r="C12" s="42"/>
      <c r="D12" s="42"/>
      <c r="E12" s="42"/>
      <c r="F12" s="42"/>
    </row>
    <row r="13" spans="1:6" x14ac:dyDescent="0.25">
      <c r="A13" s="42"/>
      <c r="B13" s="43" t="s">
        <v>10</v>
      </c>
      <c r="C13" s="13">
        <f>C15*3/13</f>
        <v>978.94798821575694</v>
      </c>
      <c r="D13" s="42"/>
      <c r="E13" s="42"/>
      <c r="F13" s="42"/>
    </row>
    <row r="14" spans="1:6" x14ac:dyDescent="0.25">
      <c r="A14" s="42"/>
      <c r="B14" s="42"/>
      <c r="C14" s="42"/>
      <c r="D14" s="42"/>
      <c r="E14" s="44"/>
      <c r="F14" s="42"/>
    </row>
    <row r="15" spans="1:6" x14ac:dyDescent="0.25">
      <c r="A15" s="42" t="s">
        <v>11</v>
      </c>
      <c r="B15" s="43" t="s">
        <v>12</v>
      </c>
      <c r="C15" s="13">
        <f>C17/12</f>
        <v>4242.1079489349468</v>
      </c>
      <c r="D15" s="44"/>
      <c r="E15" s="46"/>
      <c r="F15" s="42"/>
    </row>
    <row r="16" spans="1:6" x14ac:dyDescent="0.25">
      <c r="A16" s="42"/>
      <c r="B16" s="42"/>
      <c r="C16" s="42"/>
      <c r="D16" s="42"/>
      <c r="E16" s="42"/>
      <c r="F16" s="42"/>
    </row>
    <row r="17" spans="1:6" x14ac:dyDescent="0.25">
      <c r="A17" s="42"/>
      <c r="B17" s="43" t="s">
        <v>13</v>
      </c>
      <c r="C17" s="13">
        <f>IF(C11=0,0,'Specificatie loonkosten'!D28)</f>
        <v>50905.295387219361</v>
      </c>
      <c r="D17" s="42"/>
      <c r="E17" s="46"/>
      <c r="F17" s="42"/>
    </row>
    <row r="18" spans="1:6" x14ac:dyDescent="0.25">
      <c r="A18" s="42"/>
      <c r="B18" s="42"/>
      <c r="C18" s="14" t="s">
        <v>14</v>
      </c>
      <c r="D18" s="42"/>
      <c r="E18" s="46"/>
      <c r="F18" s="42"/>
    </row>
    <row r="19" spans="1:6" x14ac:dyDescent="0.25">
      <c r="A19" s="42"/>
      <c r="B19" s="44" t="s">
        <v>300</v>
      </c>
      <c r="C19" s="42"/>
      <c r="D19" s="42"/>
      <c r="E19" s="42"/>
      <c r="F19" s="42"/>
    </row>
    <row r="20" spans="1:6" ht="61.5" customHeight="1" x14ac:dyDescent="0.25">
      <c r="A20" s="42"/>
      <c r="B20" s="114" t="s">
        <v>288</v>
      </c>
      <c r="C20" s="115"/>
      <c r="D20" s="115"/>
      <c r="E20" s="115"/>
      <c r="F20" s="48"/>
    </row>
    <row r="21" spans="1:6" x14ac:dyDescent="0.25">
      <c r="A21" s="42"/>
      <c r="B21" s="49"/>
      <c r="C21" s="48"/>
      <c r="D21" s="48"/>
      <c r="E21" s="48"/>
      <c r="F21" s="48"/>
    </row>
    <row r="22" spans="1:6" ht="75" customHeight="1" x14ac:dyDescent="0.25">
      <c r="A22" s="42"/>
      <c r="B22" s="116" t="s">
        <v>289</v>
      </c>
      <c r="C22" s="115"/>
      <c r="D22" s="115"/>
      <c r="E22" s="115"/>
      <c r="F22" s="48"/>
    </row>
    <row r="23" spans="1:6" ht="16.5" customHeight="1" x14ac:dyDescent="0.25">
      <c r="A23" s="42"/>
      <c r="B23" s="116"/>
      <c r="C23" s="116"/>
      <c r="D23" s="116"/>
      <c r="E23" s="116"/>
      <c r="F23" s="48"/>
    </row>
    <row r="24" spans="1:6" ht="48.75" customHeight="1" x14ac:dyDescent="0.25">
      <c r="A24" s="42"/>
      <c r="B24" s="119" t="s">
        <v>301</v>
      </c>
      <c r="C24" s="119"/>
      <c r="D24" s="119"/>
      <c r="E24" s="119"/>
      <c r="F24" s="48"/>
    </row>
    <row r="25" spans="1:6" x14ac:dyDescent="0.25">
      <c r="A25" s="42"/>
      <c r="B25" s="48"/>
      <c r="C25" s="48"/>
      <c r="D25" s="48"/>
      <c r="E25" s="48"/>
      <c r="F25" s="48"/>
    </row>
    <row r="26" spans="1:6" x14ac:dyDescent="0.25">
      <c r="A26" s="42"/>
      <c r="B26" s="48" t="s">
        <v>15</v>
      </c>
      <c r="C26" s="48"/>
      <c r="D26" s="48"/>
      <c r="E26" s="48"/>
      <c r="F26" s="48"/>
    </row>
    <row r="27" spans="1:6" x14ac:dyDescent="0.25">
      <c r="A27" s="42"/>
      <c r="B27" s="110" t="s">
        <v>16</v>
      </c>
      <c r="C27" s="111"/>
      <c r="D27" s="111"/>
      <c r="E27" s="111"/>
      <c r="F27" s="111"/>
    </row>
    <row r="28" spans="1:6" x14ac:dyDescent="0.25">
      <c r="A28" s="42"/>
      <c r="B28" s="117" t="s">
        <v>17</v>
      </c>
      <c r="C28" s="118"/>
      <c r="D28" s="118"/>
      <c r="E28" s="118"/>
      <c r="F28" s="42"/>
    </row>
  </sheetData>
  <sheetProtection algorithmName="SHA-512" hashValue="mgp976+BMdFEEjWWuW5xyDFNZvLSS2pm1tvIqvZQGNH7RcQ7yqEIOXipwaTB5k3ucc+xhbOxRFArV1+XtJFNzw==" saltValue="Oic4h1UsOUgQoQa8BDZacw==" spinCount="100000" sheet="1" objects="1" scenarios="1"/>
  <mergeCells count="7">
    <mergeCell ref="B27:F27"/>
    <mergeCell ref="D9:F9"/>
    <mergeCell ref="B20:E20"/>
    <mergeCell ref="B22:E22"/>
    <mergeCell ref="B28:E28"/>
    <mergeCell ref="B24:E24"/>
    <mergeCell ref="B23:E23"/>
  </mergeCells>
  <conditionalFormatting sqref="C9">
    <cfRule type="expression" dxfId="0" priority="2">
      <formula>AND(#REF!=0,#REF!=1)</formula>
    </cfRule>
  </conditionalFormatting>
  <dataValidations count="1">
    <dataValidation type="decimal" allowBlank="1" showInputMessage="1" showErrorMessage="1" errorTitle="wtf:" error="De wtf dient te liggen op of tussen 0,0001 en 1,2000." sqref="C5" xr:uid="{00000000-0002-0000-0000-000000000000}">
      <formula1>0</formula1>
      <formula2>1.2</formula2>
    </dataValidation>
  </dataValidations>
  <pageMargins left="0.7" right="0.7" top="0.75" bottom="0.75" header="0.3" footer="0.3"/>
  <pageSetup paperSize="9"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3" id="{63B0C788-D62D-41DC-9812-BEE670D9CD92}">
            <xm:f>AND('percentages ed'!$H$11=0,'percentages ed'!$H$6=1)</xm:f>
            <x14:dxf>
              <font>
                <b/>
                <i val="0"/>
                <color rgb="FFFF0000"/>
              </font>
            </x14:dxf>
          </x14:cfRule>
          <xm:sqref>C8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'percentages ed'!$G$5:$G$6</xm:f>
          </x14:formula1>
          <xm:sqref>C8</xm:sqref>
        </x14:dataValidation>
        <x14:dataValidation type="list" allowBlank="1" showInputMessage="1" showErrorMessage="1" xr:uid="{B3DE8A2D-5A11-476E-84BA-60F8056F0A2F}">
          <x14:formula1>
            <xm:f>'percentages ed'!$F$32:$F$37</xm:f>
          </x14:formula1>
          <xm:sqref>C9</xm:sqref>
        </x14:dataValidation>
        <x14:dataValidation type="list" allowBlank="1" showInputMessage="1" showErrorMessage="1" xr:uid="{00000000-0002-0000-0000-000002000000}">
          <x14:formula1>
            <xm:f>'percentages ed'!$J$3:$J$31</xm:f>
          </x14:formula1>
          <xm:sqref>C3</xm:sqref>
        </x14:dataValidation>
        <x14:dataValidation type="list" allowBlank="1" showInputMessage="1" showErrorMessage="1" xr:uid="{00000000-0002-0000-0000-000003000000}">
          <x14:formula1>
            <xm:f>INDIRECT('percentages ed'!I2)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F2CD-9850-406E-99A1-F9197E6080AC}">
  <sheetPr>
    <tabColor rgb="FF92D050"/>
  </sheetPr>
  <dimension ref="B1:F47"/>
  <sheetViews>
    <sheetView showGridLines="0" showRowColHeaders="0" workbookViewId="0">
      <selection activeCell="B12" sqref="B12"/>
    </sheetView>
  </sheetViews>
  <sheetFormatPr defaultRowHeight="15" x14ac:dyDescent="0.25"/>
  <cols>
    <col min="1" max="1" width="5.5703125" style="80" customWidth="1"/>
    <col min="2" max="2" width="34.85546875" style="80" bestFit="1" customWidth="1"/>
    <col min="3" max="3" width="9.140625" style="80"/>
    <col min="4" max="4" width="15.85546875" style="80" customWidth="1"/>
    <col min="5" max="16384" width="9.140625" style="80"/>
  </cols>
  <sheetData>
    <row r="1" spans="2:6" ht="15.75" thickBot="1" x14ac:dyDescent="0.3"/>
    <row r="2" spans="2:6" x14ac:dyDescent="0.25">
      <c r="B2" s="87" t="s">
        <v>18</v>
      </c>
      <c r="C2" s="81"/>
      <c r="D2" s="81"/>
      <c r="E2" s="81"/>
      <c r="F2" s="82"/>
    </row>
    <row r="3" spans="2:6" x14ac:dyDescent="0.25">
      <c r="B3" s="91" t="s">
        <v>0</v>
      </c>
      <c r="E3" s="88" t="str">
        <f>'Loonkosten PO'!C3</f>
        <v>LB</v>
      </c>
      <c r="F3" s="84"/>
    </row>
    <row r="4" spans="2:6" x14ac:dyDescent="0.25">
      <c r="B4" s="91" t="s">
        <v>2</v>
      </c>
      <c r="E4" s="89">
        <f>'Loonkosten PO'!C4</f>
        <v>12</v>
      </c>
      <c r="F4" s="84"/>
    </row>
    <row r="5" spans="2:6" ht="15.75" thickBot="1" x14ac:dyDescent="0.3">
      <c r="B5" s="92" t="s">
        <v>3</v>
      </c>
      <c r="C5" s="85"/>
      <c r="D5" s="85"/>
      <c r="E5" s="90">
        <f>'Loonkosten PO'!C5</f>
        <v>0.5</v>
      </c>
      <c r="F5" s="86"/>
    </row>
    <row r="6" spans="2:6" ht="15.75" thickBot="1" x14ac:dyDescent="0.3"/>
    <row r="7" spans="2:6" x14ac:dyDescent="0.25">
      <c r="B7" s="87" t="s">
        <v>19</v>
      </c>
      <c r="C7" s="81"/>
      <c r="D7" s="81"/>
      <c r="E7" s="81"/>
      <c r="F7" s="82"/>
    </row>
    <row r="8" spans="2:6" x14ac:dyDescent="0.25">
      <c r="B8" s="91" t="s">
        <v>20</v>
      </c>
      <c r="D8" s="93">
        <f>IF('percentages ed'!C6=0,"",'percentages ed'!C6)</f>
        <v>33120</v>
      </c>
      <c r="F8" s="84"/>
    </row>
    <row r="9" spans="2:6" x14ac:dyDescent="0.25">
      <c r="B9" s="91" t="s">
        <v>21</v>
      </c>
      <c r="D9" s="95" t="str">
        <f>IF('percentages ed'!D7=0,"",-'percentages ed'!D7)</f>
        <v/>
      </c>
      <c r="F9" s="84"/>
    </row>
    <row r="10" spans="2:6" x14ac:dyDescent="0.25">
      <c r="B10" s="91" t="s">
        <v>22</v>
      </c>
      <c r="D10" s="93">
        <f>IF('percentages ed'!C8=0,"",'percentages ed'!C8)</f>
        <v>2649.6</v>
      </c>
      <c r="F10" s="84"/>
    </row>
    <row r="11" spans="2:6" x14ac:dyDescent="0.25">
      <c r="B11" s="91" t="s">
        <v>23</v>
      </c>
      <c r="D11" s="93">
        <f>IF('percentages ed'!C9=0,"",'percentages ed'!C9)</f>
        <v>2758.8960000000002</v>
      </c>
      <c r="F11" s="84"/>
    </row>
    <row r="12" spans="2:6" x14ac:dyDescent="0.25">
      <c r="B12" s="91" t="s">
        <v>24</v>
      </c>
      <c r="D12" s="93">
        <f>IF('percentages ed'!C10=0,'percentages ed'!C11,'percentages ed'!C10)</f>
        <v>820</v>
      </c>
      <c r="F12" s="84"/>
    </row>
    <row r="13" spans="2:6" x14ac:dyDescent="0.25">
      <c r="B13" s="91" t="s">
        <v>25</v>
      </c>
      <c r="D13" s="93" t="str">
        <f>IF('percentages ed'!C12=0,"",'percentages ed'!C12)</f>
        <v/>
      </c>
      <c r="F13" s="84"/>
    </row>
    <row r="14" spans="2:6" x14ac:dyDescent="0.25">
      <c r="B14" s="91" t="s">
        <v>26</v>
      </c>
      <c r="D14" s="93" t="str">
        <f>IF('percentages ed'!C13=0,"",'percentages ed'!C13)</f>
        <v/>
      </c>
      <c r="F14" s="84"/>
    </row>
    <row r="15" spans="2:6" x14ac:dyDescent="0.25">
      <c r="B15" s="91" t="s">
        <v>27</v>
      </c>
      <c r="D15" s="93" t="str">
        <f>IF('percentages ed'!C14=0,"",'percentages ed'!C14)</f>
        <v/>
      </c>
      <c r="F15" s="84"/>
    </row>
    <row r="16" spans="2:6" ht="15.75" thickBot="1" x14ac:dyDescent="0.3">
      <c r="B16" s="92" t="s">
        <v>28</v>
      </c>
      <c r="C16" s="85"/>
      <c r="D16" s="94">
        <f>IF(SUM(D8:D15)=0,"",SUM(D8:D15))</f>
        <v>39348.495999999999</v>
      </c>
      <c r="E16" s="85"/>
      <c r="F16" s="86"/>
    </row>
    <row r="17" spans="2:6" ht="15.75" thickBot="1" x14ac:dyDescent="0.3"/>
    <row r="18" spans="2:6" x14ac:dyDescent="0.25">
      <c r="B18" s="87" t="s">
        <v>29</v>
      </c>
      <c r="C18" s="81"/>
      <c r="D18" s="81"/>
      <c r="E18" s="81"/>
      <c r="F18" s="82"/>
    </row>
    <row r="19" spans="2:6" x14ac:dyDescent="0.25">
      <c r="B19" s="91" t="s">
        <v>30</v>
      </c>
      <c r="D19" s="96">
        <f>IF('percentages ed'!E20=0,"",'percentages ed'!E20)</f>
        <v>5643.2896911999997</v>
      </c>
      <c r="F19" s="84"/>
    </row>
    <row r="20" spans="2:6" x14ac:dyDescent="0.25">
      <c r="B20" s="91" t="s">
        <v>31</v>
      </c>
      <c r="D20" s="96">
        <f>IF('percentages ed'!E21=0,"",'percentages ed'!E21)</f>
        <v>205.78736639999997</v>
      </c>
      <c r="F20" s="84"/>
    </row>
    <row r="21" spans="2:6" x14ac:dyDescent="0.25">
      <c r="B21" s="91" t="s">
        <v>32</v>
      </c>
      <c r="D21" s="96">
        <f>IF('percentages ed'!E23=0,"",'percentages ed'!E23)</f>
        <v>2247.3466700655999</v>
      </c>
      <c r="F21" s="84"/>
    </row>
    <row r="22" spans="2:6" x14ac:dyDescent="0.25">
      <c r="B22" s="91" t="s">
        <v>33</v>
      </c>
      <c r="D22" s="96">
        <f>IF('percentages ed'!E29=0,"",'percentages ed'!E29)</f>
        <v>2995.2341684644798</v>
      </c>
      <c r="F22" s="84"/>
    </row>
    <row r="23" spans="2:6" x14ac:dyDescent="0.25">
      <c r="B23" s="91" t="s">
        <v>34</v>
      </c>
      <c r="D23" s="96">
        <f>IF('percentages ed'!E30=0,"",'percentages ed'!E30)</f>
        <v>250.52389108927997</v>
      </c>
      <c r="F23" s="84"/>
    </row>
    <row r="24" spans="2:6" x14ac:dyDescent="0.25">
      <c r="B24" s="91" t="s">
        <v>35</v>
      </c>
      <c r="D24" s="96" t="str">
        <f>IF('percentages ed'!E31=0,"",'percentages ed'!E31)</f>
        <v/>
      </c>
      <c r="F24" s="84"/>
    </row>
    <row r="25" spans="2:6" x14ac:dyDescent="0.25">
      <c r="B25" s="91" t="s">
        <v>36</v>
      </c>
      <c r="D25" s="96">
        <f>IF('percentages ed'!E32=0,"",'percentages ed'!E32)</f>
        <v>214.61760000000004</v>
      </c>
      <c r="F25" s="84"/>
    </row>
    <row r="26" spans="2:6" x14ac:dyDescent="0.25">
      <c r="B26" s="91" t="s">
        <v>37</v>
      </c>
      <c r="D26" s="96">
        <f>IF(SUM(D19:D25)=0,"",SUM(D19:D25))</f>
        <v>11556.79938721936</v>
      </c>
      <c r="F26" s="84"/>
    </row>
    <row r="27" spans="2:6" x14ac:dyDescent="0.25">
      <c r="B27" s="83"/>
      <c r="F27" s="84"/>
    </row>
    <row r="28" spans="2:6" ht="15.75" thickBot="1" x14ac:dyDescent="0.3">
      <c r="B28" s="92" t="s">
        <v>38</v>
      </c>
      <c r="C28" s="85"/>
      <c r="D28" s="97">
        <f>IF(D16+D26=0,"",D16+D26)</f>
        <v>50905.295387219361</v>
      </c>
      <c r="E28" s="85"/>
      <c r="F28" s="86"/>
    </row>
    <row r="30" spans="2:6" ht="15.75" thickBot="1" x14ac:dyDescent="0.3"/>
    <row r="31" spans="2:6" x14ac:dyDescent="0.25">
      <c r="B31" s="87" t="s">
        <v>39</v>
      </c>
      <c r="C31" s="81"/>
      <c r="D31" s="81"/>
      <c r="E31" s="81"/>
      <c r="F31" s="82"/>
    </row>
    <row r="32" spans="2:6" x14ac:dyDescent="0.25">
      <c r="B32" s="91" t="s">
        <v>40</v>
      </c>
      <c r="D32" s="96">
        <f>IF('percentages ed'!C16=0,"",'percentages ed'!C16)</f>
        <v>78696.991999999998</v>
      </c>
      <c r="F32" s="84"/>
    </row>
    <row r="33" spans="2:6" x14ac:dyDescent="0.25">
      <c r="B33" s="91" t="s">
        <v>41</v>
      </c>
      <c r="D33" s="96">
        <f>IF('percentages ed'!B17=0,"",'percentages ed'!B17)</f>
        <v>19200</v>
      </c>
      <c r="F33" s="84"/>
    </row>
    <row r="34" spans="2:6" x14ac:dyDescent="0.25">
      <c r="B34" s="91" t="s">
        <v>42</v>
      </c>
      <c r="D34" s="96">
        <f>IF('percentages ed'!B18=0,"",'percentages ed'!B18)</f>
        <v>29700</v>
      </c>
      <c r="F34" s="84"/>
    </row>
    <row r="35" spans="2:6" x14ac:dyDescent="0.25">
      <c r="B35" s="91" t="s">
        <v>43</v>
      </c>
      <c r="D35" s="96">
        <f>IF('percentages ed'!B22=0,"",'percentages ed'!B22)</f>
        <v>79409</v>
      </c>
      <c r="F35" s="84"/>
    </row>
    <row r="36" spans="2:6" ht="15.75" thickBot="1" x14ac:dyDescent="0.3">
      <c r="B36" s="92" t="s">
        <v>44</v>
      </c>
      <c r="C36" s="85"/>
      <c r="D36" s="97">
        <f>IF('percentages ed'!D25&gt;'percentages ed'!B26,'percentages ed'!B26,'percentages ed'!D25)</f>
        <v>36841.748689599997</v>
      </c>
      <c r="E36" s="85"/>
      <c r="F36" s="86"/>
    </row>
    <row r="37" spans="2:6" ht="15.75" thickBot="1" x14ac:dyDescent="0.3"/>
    <row r="38" spans="2:6" x14ac:dyDescent="0.25">
      <c r="B38" s="87" t="s">
        <v>45</v>
      </c>
      <c r="C38" s="81"/>
      <c r="D38" s="81"/>
      <c r="E38" s="81"/>
      <c r="F38" s="82"/>
    </row>
    <row r="39" spans="2:6" x14ac:dyDescent="0.25">
      <c r="B39" s="91" t="s">
        <v>30</v>
      </c>
      <c r="D39" s="98">
        <f>IF('percentages ed'!B20=0,"",'percentages ed'!B20)</f>
        <v>0.18970000000000001</v>
      </c>
      <c r="F39" s="84"/>
    </row>
    <row r="40" spans="2:6" x14ac:dyDescent="0.25">
      <c r="B40" s="91" t="s">
        <v>31</v>
      </c>
      <c r="D40" s="98">
        <f>IF('percentages ed'!B21=0,"",'percentages ed'!B21)</f>
        <v>8.3999999999999995E-3</v>
      </c>
      <c r="F40" s="84"/>
    </row>
    <row r="41" spans="2:6" x14ac:dyDescent="0.25">
      <c r="B41" s="91" t="s">
        <v>32</v>
      </c>
      <c r="D41" s="98">
        <f>IF('percentages ed'!B23=0,"",'percentages ed'!B23)</f>
        <v>6.0999999999999999E-2</v>
      </c>
      <c r="F41" s="84"/>
    </row>
    <row r="42" spans="2:6" x14ac:dyDescent="0.25">
      <c r="B42" s="91" t="s">
        <v>298</v>
      </c>
      <c r="D42" s="98">
        <f>IF('percentages ed'!B29=0,"",'percentages ed'!B29)</f>
        <v>8.1299999999999997E-2</v>
      </c>
      <c r="F42" s="84"/>
    </row>
    <row r="43" spans="2:6" x14ac:dyDescent="0.25">
      <c r="B43" s="91" t="s">
        <v>34</v>
      </c>
      <c r="D43" s="98">
        <f>IF('percentages ed'!B30=0,"",'percentages ed'!B30)</f>
        <v>6.7999999999999996E-3</v>
      </c>
      <c r="F43" s="84"/>
    </row>
    <row r="44" spans="2:6" x14ac:dyDescent="0.25">
      <c r="B44" s="91" t="s">
        <v>35</v>
      </c>
      <c r="D44" s="98">
        <f>'percentages ed'!B31</f>
        <v>0</v>
      </c>
      <c r="F44" s="84"/>
    </row>
    <row r="45" spans="2:6" ht="15.75" thickBot="1" x14ac:dyDescent="0.3">
      <c r="B45" s="92" t="s">
        <v>36</v>
      </c>
      <c r="C45" s="85"/>
      <c r="D45" s="99">
        <f>IF('percentages ed'!B32=0,"",'percentages ed'!B32)</f>
        <v>6.0000000000000001E-3</v>
      </c>
      <c r="E45" s="85"/>
      <c r="F45" s="86"/>
    </row>
    <row r="47" spans="2:6" x14ac:dyDescent="0.25">
      <c r="B47" s="100"/>
    </row>
  </sheetData>
  <sheetProtection algorithmName="SHA-512" hashValue="IKh6rsK5EraALvBT69sNHROYAfFL/CMA0R8RyBwEico56p+7IA/AF0A75OuPfKnuNegmBE7+oLVARVamyn/T+A==" saltValue="T9I8+NKDZkVich1PvfPTAQ=="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9"/>
  <sheetViews>
    <sheetView workbookViewId="0">
      <selection activeCell="C10" sqref="C10"/>
    </sheetView>
  </sheetViews>
  <sheetFormatPr defaultRowHeight="15" x14ac:dyDescent="0.25"/>
  <cols>
    <col min="1" max="1" width="46.28515625" bestFit="1" customWidth="1"/>
    <col min="2" max="2" width="26.7109375" bestFit="1" customWidth="1"/>
    <col min="3" max="3" width="10.5703125" bestFit="1" customWidth="1"/>
    <col min="4" max="4" width="12.85546875" bestFit="1" customWidth="1"/>
    <col min="5" max="5" width="14.140625" customWidth="1"/>
    <col min="6" max="6" width="51.7109375" customWidth="1"/>
    <col min="7" max="7" width="14.28515625" customWidth="1"/>
    <col min="9" max="9" width="15.42578125" bestFit="1" customWidth="1"/>
  </cols>
  <sheetData>
    <row r="1" spans="1:39" x14ac:dyDescent="0.25">
      <c r="I1">
        <f>'Loonkosten PO'!C4</f>
        <v>12</v>
      </c>
      <c r="J1">
        <f>IF(I1="a",-3,IF(I1="b",-2,IF(I1="c",-1,IF(I1="d",0,I1))))</f>
        <v>12</v>
      </c>
    </row>
    <row r="2" spans="1:39" x14ac:dyDescent="0.25">
      <c r="H2" s="101"/>
      <c r="I2" s="79" t="str">
        <f>'Loonkosten PO'!C3</f>
        <v>LB</v>
      </c>
      <c r="J2" s="40" t="s">
        <v>46</v>
      </c>
      <c r="K2" s="40" t="s">
        <v>47</v>
      </c>
      <c r="L2" s="40" t="s">
        <v>48</v>
      </c>
      <c r="M2" s="40" t="s">
        <v>49</v>
      </c>
      <c r="N2" s="40" t="s">
        <v>50</v>
      </c>
      <c r="O2" s="40" t="s">
        <v>51</v>
      </c>
      <c r="P2" s="40" t="s">
        <v>52</v>
      </c>
      <c r="Q2" s="40" t="s">
        <v>53</v>
      </c>
      <c r="R2" s="40" t="s">
        <v>54</v>
      </c>
      <c r="S2" s="40" t="s">
        <v>55</v>
      </c>
      <c r="T2" s="40" t="s">
        <v>56</v>
      </c>
      <c r="U2" s="40" t="s">
        <v>57</v>
      </c>
      <c r="V2" s="41" t="s">
        <v>58</v>
      </c>
      <c r="W2" s="41" t="s">
        <v>59</v>
      </c>
      <c r="X2" s="41" t="s">
        <v>60</v>
      </c>
      <c r="Y2" s="41" t="s">
        <v>61</v>
      </c>
      <c r="Z2" s="41" t="s">
        <v>1</v>
      </c>
      <c r="AA2" s="41" t="s">
        <v>62</v>
      </c>
      <c r="AB2" s="41" t="s">
        <v>63</v>
      </c>
      <c r="AC2" s="41" t="s">
        <v>64</v>
      </c>
      <c r="AD2" s="41" t="s">
        <v>65</v>
      </c>
      <c r="AE2" s="41" t="s">
        <v>66</v>
      </c>
      <c r="AF2" s="41" t="s">
        <v>67</v>
      </c>
      <c r="AG2" s="41" t="s">
        <v>68</v>
      </c>
      <c r="AH2" s="41" t="s">
        <v>69</v>
      </c>
      <c r="AI2" s="41" t="s">
        <v>70</v>
      </c>
      <c r="AJ2" s="41" t="s">
        <v>71</v>
      </c>
      <c r="AK2" s="41" t="s">
        <v>72</v>
      </c>
      <c r="AL2" s="41" t="s">
        <v>73</v>
      </c>
      <c r="AM2" s="41" t="s">
        <v>74</v>
      </c>
    </row>
    <row r="3" spans="1:39" x14ac:dyDescent="0.25">
      <c r="A3" s="3">
        <v>46204</v>
      </c>
      <c r="B3" s="4" t="s">
        <v>75</v>
      </c>
      <c r="H3" s="101"/>
      <c r="I3" s="102" t="s">
        <v>81</v>
      </c>
      <c r="J3" s="40" t="s">
        <v>47</v>
      </c>
      <c r="K3" s="79">
        <v>1</v>
      </c>
      <c r="L3" s="79">
        <v>1</v>
      </c>
      <c r="M3" s="40" t="s">
        <v>77</v>
      </c>
      <c r="N3" s="79">
        <v>1</v>
      </c>
      <c r="O3" s="79">
        <v>1</v>
      </c>
      <c r="P3" s="79">
        <v>1</v>
      </c>
      <c r="Q3" s="79">
        <v>1</v>
      </c>
      <c r="R3" s="79">
        <v>1</v>
      </c>
      <c r="S3" s="79">
        <v>1</v>
      </c>
      <c r="T3" s="79">
        <v>1</v>
      </c>
      <c r="U3" s="79">
        <v>1</v>
      </c>
      <c r="V3" s="79">
        <v>1</v>
      </c>
      <c r="W3" s="79">
        <v>1</v>
      </c>
      <c r="X3" s="79">
        <v>1</v>
      </c>
      <c r="Y3" s="79">
        <v>1</v>
      </c>
      <c r="Z3" s="79">
        <v>1</v>
      </c>
      <c r="AA3" s="79">
        <v>1</v>
      </c>
      <c r="AB3" s="79">
        <v>1</v>
      </c>
      <c r="AC3" s="79">
        <v>1</v>
      </c>
      <c r="AD3" s="79">
        <v>1</v>
      </c>
      <c r="AE3" s="79">
        <v>1</v>
      </c>
      <c r="AF3" s="79">
        <v>1</v>
      </c>
      <c r="AG3" s="79">
        <v>1</v>
      </c>
      <c r="AH3" s="79">
        <v>1</v>
      </c>
      <c r="AI3" s="79">
        <v>1</v>
      </c>
      <c r="AJ3" s="79">
        <v>1</v>
      </c>
      <c r="AK3" s="79">
        <v>1</v>
      </c>
      <c r="AL3" s="79">
        <v>1</v>
      </c>
      <c r="AM3" s="79">
        <v>1</v>
      </c>
    </row>
    <row r="4" spans="1:39" x14ac:dyDescent="0.25">
      <c r="A4" s="1" t="s">
        <v>78</v>
      </c>
      <c r="B4" t="s">
        <v>79</v>
      </c>
      <c r="E4" t="s">
        <v>80</v>
      </c>
      <c r="H4" s="101"/>
      <c r="I4" s="102" t="s">
        <v>82</v>
      </c>
      <c r="J4" s="40" t="s">
        <v>48</v>
      </c>
      <c r="K4" s="79">
        <v>2</v>
      </c>
      <c r="L4" s="79">
        <v>2</v>
      </c>
      <c r="M4" s="79">
        <v>1</v>
      </c>
      <c r="N4" s="79">
        <v>2</v>
      </c>
      <c r="O4" s="79">
        <v>2</v>
      </c>
      <c r="P4" s="79">
        <v>2</v>
      </c>
      <c r="Q4" s="79">
        <v>2</v>
      </c>
      <c r="R4" s="79">
        <v>2</v>
      </c>
      <c r="S4" s="79">
        <v>2</v>
      </c>
      <c r="T4" s="79">
        <v>2</v>
      </c>
      <c r="U4" s="79">
        <v>2</v>
      </c>
      <c r="V4" s="79"/>
      <c r="W4" s="79">
        <v>2</v>
      </c>
      <c r="X4" s="79">
        <v>2</v>
      </c>
      <c r="Y4" s="79">
        <v>2</v>
      </c>
      <c r="Z4" s="79">
        <v>2</v>
      </c>
      <c r="AA4" s="79">
        <v>2</v>
      </c>
      <c r="AB4" s="79">
        <v>2</v>
      </c>
      <c r="AC4" s="79">
        <v>2</v>
      </c>
      <c r="AD4" s="79">
        <v>2</v>
      </c>
      <c r="AE4" s="79">
        <v>2</v>
      </c>
      <c r="AF4" s="79">
        <v>2</v>
      </c>
      <c r="AG4" s="79">
        <v>2</v>
      </c>
      <c r="AH4" s="79">
        <v>2</v>
      </c>
      <c r="AI4" s="79">
        <v>2</v>
      </c>
      <c r="AJ4" s="79">
        <v>2</v>
      </c>
      <c r="AK4" s="79">
        <v>2</v>
      </c>
      <c r="AL4" s="79">
        <v>2</v>
      </c>
      <c r="AM4" s="79">
        <v>2</v>
      </c>
    </row>
    <row r="5" spans="1:39" x14ac:dyDescent="0.25">
      <c r="A5" s="1"/>
      <c r="B5" s="9"/>
      <c r="C5" s="7"/>
      <c r="D5" s="8"/>
      <c r="E5" s="7"/>
      <c r="F5" s="79"/>
      <c r="G5" s="79" t="s">
        <v>7</v>
      </c>
      <c r="H5" s="101"/>
      <c r="I5" s="102" t="s">
        <v>84</v>
      </c>
      <c r="J5" s="40" t="s">
        <v>49</v>
      </c>
      <c r="K5" s="79">
        <v>3</v>
      </c>
      <c r="L5" s="79">
        <v>3</v>
      </c>
      <c r="M5" s="79">
        <v>2</v>
      </c>
      <c r="N5" s="79">
        <v>3</v>
      </c>
      <c r="O5" s="79">
        <v>3</v>
      </c>
      <c r="P5" s="79">
        <v>3</v>
      </c>
      <c r="Q5" s="79">
        <v>3</v>
      </c>
      <c r="R5" s="79">
        <v>3</v>
      </c>
      <c r="S5" s="79">
        <v>3</v>
      </c>
      <c r="T5" s="79">
        <v>3</v>
      </c>
      <c r="U5" s="79">
        <v>3</v>
      </c>
      <c r="V5" s="79"/>
      <c r="W5" s="79">
        <v>3</v>
      </c>
      <c r="X5" s="79">
        <v>3</v>
      </c>
      <c r="Y5" s="79">
        <v>3</v>
      </c>
      <c r="Z5" s="79">
        <v>3</v>
      </c>
      <c r="AA5" s="79">
        <v>3</v>
      </c>
      <c r="AB5" s="79">
        <v>3</v>
      </c>
      <c r="AC5" s="79">
        <v>3</v>
      </c>
      <c r="AD5" s="79">
        <v>3</v>
      </c>
      <c r="AE5" s="79">
        <v>3</v>
      </c>
      <c r="AF5" s="79">
        <v>3</v>
      </c>
      <c r="AG5" s="79">
        <v>3</v>
      </c>
      <c r="AH5" s="79">
        <v>3</v>
      </c>
      <c r="AI5" s="79">
        <v>3</v>
      </c>
      <c r="AJ5" s="79">
        <v>3</v>
      </c>
      <c r="AK5" s="79">
        <v>3</v>
      </c>
      <c r="AL5" s="79">
        <v>3</v>
      </c>
      <c r="AM5" s="79">
        <v>3</v>
      </c>
    </row>
    <row r="6" spans="1:39" x14ac:dyDescent="0.25">
      <c r="A6" t="s">
        <v>83</v>
      </c>
      <c r="C6" s="11">
        <f>12*'Loonkosten PO'!C11</f>
        <v>33120</v>
      </c>
      <c r="D6" s="1"/>
      <c r="E6" s="1" t="s">
        <v>14</v>
      </c>
      <c r="F6" s="79" t="s">
        <v>26</v>
      </c>
      <c r="G6" s="79" t="s">
        <v>76</v>
      </c>
      <c r="H6" s="102">
        <f>IF('Loonkosten PO'!C8="ja",1,0)</f>
        <v>0</v>
      </c>
      <c r="I6" s="68" t="s">
        <v>89</v>
      </c>
      <c r="J6" s="69" t="s">
        <v>50</v>
      </c>
      <c r="K6" s="79">
        <v>4</v>
      </c>
      <c r="L6" s="79">
        <v>4</v>
      </c>
      <c r="M6" s="79">
        <v>3</v>
      </c>
      <c r="N6" s="79">
        <v>4</v>
      </c>
      <c r="O6" s="79">
        <v>4</v>
      </c>
      <c r="P6" s="79">
        <v>4</v>
      </c>
      <c r="Q6" s="79">
        <v>4</v>
      </c>
      <c r="R6" s="79">
        <v>4</v>
      </c>
      <c r="S6" s="79">
        <v>4</v>
      </c>
      <c r="T6" s="79">
        <v>4</v>
      </c>
      <c r="U6" s="79">
        <v>4</v>
      </c>
      <c r="V6" s="79"/>
      <c r="W6" s="79">
        <v>4</v>
      </c>
      <c r="X6" s="79">
        <v>4</v>
      </c>
      <c r="Y6" s="79">
        <v>4</v>
      </c>
      <c r="Z6" s="79">
        <v>4</v>
      </c>
      <c r="AA6" s="79">
        <v>4</v>
      </c>
      <c r="AB6" s="79">
        <v>4</v>
      </c>
      <c r="AC6" s="79">
        <v>4</v>
      </c>
      <c r="AD6" s="79">
        <v>4</v>
      </c>
      <c r="AE6" s="79">
        <v>4</v>
      </c>
      <c r="AF6" s="79">
        <v>4</v>
      </c>
      <c r="AG6" s="79">
        <v>4</v>
      </c>
      <c r="AH6" s="79">
        <v>4</v>
      </c>
      <c r="AI6" s="79">
        <v>4</v>
      </c>
      <c r="AJ6" s="79">
        <v>4</v>
      </c>
      <c r="AK6" s="79">
        <v>4</v>
      </c>
      <c r="AL6" s="79">
        <v>4</v>
      </c>
      <c r="AM6" s="79">
        <v>4</v>
      </c>
    </row>
    <row r="7" spans="1:39" x14ac:dyDescent="0.25">
      <c r="A7" t="s">
        <v>85</v>
      </c>
      <c r="D7" s="12">
        <f>'Loonkosten PO'!C6*'Loonkosten PO'!C11/'Loonkosten PO'!C5*12*IF(OR('Loonkosten PO'!C3="Schaal_1",'Loonkosten PO'!C3="Schaal_2",'Loonkosten PO'!C3="Schaal_3",'Loonkosten PO'!C3="Schaal_4",'Loonkosten PO'!C3="Schaal_5",'Loonkosten PO'!C3="Schaal_6",'Loonkosten PO'!C3="Schaal_7",'Loonkosten PO'!C3="Schaal_8",'Loonkosten PO'!C3="Participatiebaan",'Loonkosten PO'!C3="IDnr1",'Loonkosten PO'!C3="IDnr2",'Loonkosten PO'!C3="IDnr3"),0.4,0.5)</f>
        <v>0</v>
      </c>
      <c r="E7" s="1"/>
      <c r="F7" s="79" t="s">
        <v>86</v>
      </c>
      <c r="G7" s="103">
        <v>43.06</v>
      </c>
      <c r="H7" s="102">
        <f>IF(AND(F12="LB12",H6=1),G7,0)</f>
        <v>0</v>
      </c>
      <c r="I7" s="68" t="s">
        <v>92</v>
      </c>
      <c r="J7" s="69" t="s">
        <v>51</v>
      </c>
      <c r="K7" s="79">
        <v>5</v>
      </c>
      <c r="L7" s="79">
        <v>5</v>
      </c>
      <c r="M7" s="79">
        <v>4</v>
      </c>
      <c r="N7" s="79">
        <v>5</v>
      </c>
      <c r="O7" s="79">
        <v>5</v>
      </c>
      <c r="P7" s="79">
        <v>5</v>
      </c>
      <c r="Q7" s="79">
        <v>5</v>
      </c>
      <c r="R7" s="79">
        <v>5</v>
      </c>
      <c r="S7" s="79">
        <v>5</v>
      </c>
      <c r="T7" s="79">
        <v>5</v>
      </c>
      <c r="U7" s="79">
        <v>5</v>
      </c>
      <c r="V7" s="79"/>
      <c r="W7" s="79">
        <v>5</v>
      </c>
      <c r="X7" s="79">
        <v>5</v>
      </c>
      <c r="Y7" s="79">
        <v>5</v>
      </c>
      <c r="Z7" s="79">
        <v>5</v>
      </c>
      <c r="AA7" s="79">
        <v>5</v>
      </c>
      <c r="AB7" s="79">
        <v>5</v>
      </c>
      <c r="AC7" s="79">
        <v>5</v>
      </c>
      <c r="AD7" s="79">
        <v>5</v>
      </c>
      <c r="AE7" s="79">
        <v>5</v>
      </c>
      <c r="AF7" s="79">
        <v>5</v>
      </c>
      <c r="AG7" s="79">
        <v>5</v>
      </c>
      <c r="AH7" s="79">
        <v>5</v>
      </c>
      <c r="AI7" s="79">
        <v>5</v>
      </c>
      <c r="AJ7" s="79">
        <v>5</v>
      </c>
      <c r="AK7" s="79">
        <v>5</v>
      </c>
      <c r="AL7" s="79">
        <v>5</v>
      </c>
      <c r="AM7" s="79">
        <v>5</v>
      </c>
    </row>
    <row r="8" spans="1:39" x14ac:dyDescent="0.25">
      <c r="A8" t="s">
        <v>87</v>
      </c>
      <c r="B8" s="65">
        <v>0.08</v>
      </c>
      <c r="C8" s="7">
        <f>C6*B8</f>
        <v>2649.6</v>
      </c>
      <c r="E8" s="7"/>
      <c r="F8" s="79" t="s">
        <v>88</v>
      </c>
      <c r="G8" s="103">
        <v>37.78</v>
      </c>
      <c r="H8" s="102">
        <f>IF(AND(F12="LC12",H6=1),G8,0)</f>
        <v>0</v>
      </c>
      <c r="I8" s="68" t="s">
        <v>94</v>
      </c>
      <c r="J8" s="69" t="s">
        <v>52</v>
      </c>
      <c r="K8" s="79">
        <v>6</v>
      </c>
      <c r="L8" s="79">
        <v>6</v>
      </c>
      <c r="M8" s="79">
        <v>5</v>
      </c>
      <c r="N8" s="79">
        <v>6</v>
      </c>
      <c r="O8" s="79">
        <v>6</v>
      </c>
      <c r="P8" s="79">
        <v>6</v>
      </c>
      <c r="Q8" s="79">
        <v>6</v>
      </c>
      <c r="R8" s="79">
        <v>6</v>
      </c>
      <c r="S8" s="79">
        <v>6</v>
      </c>
      <c r="T8" s="79">
        <v>6</v>
      </c>
      <c r="U8" s="79">
        <v>6</v>
      </c>
      <c r="V8" s="79"/>
      <c r="W8" s="79">
        <v>6</v>
      </c>
      <c r="X8" s="79">
        <v>6</v>
      </c>
      <c r="Y8" s="79">
        <v>6</v>
      </c>
      <c r="Z8" s="79">
        <v>6</v>
      </c>
      <c r="AA8" s="79">
        <v>6</v>
      </c>
      <c r="AB8" s="79">
        <v>6</v>
      </c>
      <c r="AC8" s="79">
        <v>6</v>
      </c>
      <c r="AD8" s="79">
        <v>6</v>
      </c>
      <c r="AE8" s="79">
        <v>6</v>
      </c>
      <c r="AF8" s="79">
        <v>6</v>
      </c>
      <c r="AG8" s="79">
        <v>6</v>
      </c>
      <c r="AH8" s="79">
        <v>6</v>
      </c>
      <c r="AI8" s="79">
        <v>6</v>
      </c>
      <c r="AJ8" s="79">
        <v>6</v>
      </c>
      <c r="AK8" s="79">
        <v>6</v>
      </c>
      <c r="AL8" s="79">
        <v>6</v>
      </c>
      <c r="AM8" s="79">
        <v>6</v>
      </c>
    </row>
    <row r="9" spans="1:39" x14ac:dyDescent="0.25">
      <c r="A9" t="s">
        <v>90</v>
      </c>
      <c r="B9" s="66">
        <v>8.3299999999999999E-2</v>
      </c>
      <c r="C9" s="7">
        <f>C6*B9</f>
        <v>2758.8960000000002</v>
      </c>
      <c r="E9" s="7"/>
      <c r="F9" s="79" t="s">
        <v>91</v>
      </c>
      <c r="G9" s="103">
        <v>68.78</v>
      </c>
      <c r="H9" s="102">
        <f>IF(AND(F12="LD12",H6=1),G9,0)</f>
        <v>0</v>
      </c>
      <c r="I9" s="68" t="s">
        <v>95</v>
      </c>
      <c r="J9" s="69" t="s">
        <v>53</v>
      </c>
      <c r="K9" s="79">
        <v>7</v>
      </c>
      <c r="L9" s="79">
        <v>7</v>
      </c>
      <c r="M9" s="79">
        <v>6</v>
      </c>
      <c r="N9" s="79">
        <v>7</v>
      </c>
      <c r="O9" s="79">
        <v>7</v>
      </c>
      <c r="P9" s="79">
        <v>7</v>
      </c>
      <c r="Q9" s="79">
        <v>7</v>
      </c>
      <c r="R9" s="79">
        <v>7</v>
      </c>
      <c r="S9" s="79">
        <v>7</v>
      </c>
      <c r="T9" s="79">
        <v>7</v>
      </c>
      <c r="U9" s="79">
        <v>7</v>
      </c>
      <c r="V9" s="79"/>
      <c r="W9" s="79">
        <v>7</v>
      </c>
      <c r="X9" s="79">
        <v>7</v>
      </c>
      <c r="Y9" s="79">
        <v>7</v>
      </c>
      <c r="Z9" s="79">
        <v>7</v>
      </c>
      <c r="AA9" s="79">
        <v>7</v>
      </c>
      <c r="AB9" s="79">
        <v>7</v>
      </c>
      <c r="AC9" s="79">
        <v>7</v>
      </c>
      <c r="AD9" s="79">
        <v>7</v>
      </c>
      <c r="AE9" s="79">
        <v>7</v>
      </c>
      <c r="AF9" s="79">
        <v>7</v>
      </c>
      <c r="AG9" s="79">
        <v>7</v>
      </c>
      <c r="AH9" s="79">
        <v>7</v>
      </c>
      <c r="AI9" s="79">
        <v>7</v>
      </c>
      <c r="AJ9" s="79">
        <v>7</v>
      </c>
      <c r="AK9" s="79">
        <v>7</v>
      </c>
      <c r="AL9" s="79">
        <v>7</v>
      </c>
      <c r="AM9" s="79">
        <v>7</v>
      </c>
    </row>
    <row r="10" spans="1:39" x14ac:dyDescent="0.25">
      <c r="A10" t="s">
        <v>293</v>
      </c>
      <c r="B10" s="61">
        <v>1640</v>
      </c>
      <c r="C10" s="7">
        <f>IF(OR('Loonkosten PO'!C3="Schaal_1",'Loonkosten PO'!C3="Schaal_2",'Loonkosten PO'!C3="Schaal_3",'Loonkosten PO'!C3="Schaal_4",'Loonkosten PO'!C3="Schaal_5",'Loonkosten PO'!C3="Schaal_6",'Loonkosten PO'!C3="Schaal_7",'Loonkosten PO'!C3="Schaal_8",F26="Schaal_910",F26="A_1012",F26="A_1116",F26="A_1212",F26="A_1313",F26="D_1116",F26="D_1212",F26="D_1313",F26="D_1411",F26="D_1512",F26="Schaal_910",F26="Schaal_1012",F26="Schaal_1112",F26="Schaal_1212",F26="Schaal_1313",F26="Schaal_1411",F26="Schaal_1512",F26="Schaal_1612",F26="Schaal_1712",F26="Schaal_910",F26="LB12",F26="LC12",F26="LD12",F26="LE12"),B10*'Loonkosten PO'!C5,)</f>
        <v>820</v>
      </c>
      <c r="E10" s="7"/>
      <c r="F10" s="79" t="s">
        <v>93</v>
      </c>
      <c r="G10" s="103">
        <v>34.03</v>
      </c>
      <c r="H10" s="102">
        <f>IF(AND(F12="LE12",H6=1),G10,0)</f>
        <v>0</v>
      </c>
      <c r="I10" s="102" t="s">
        <v>96</v>
      </c>
      <c r="J10" s="40" t="s">
        <v>54</v>
      </c>
      <c r="K10" s="79">
        <v>8</v>
      </c>
      <c r="L10" s="79">
        <v>8</v>
      </c>
      <c r="M10" s="79">
        <v>7</v>
      </c>
      <c r="N10" s="79">
        <v>8</v>
      </c>
      <c r="O10" s="79">
        <v>8</v>
      </c>
      <c r="P10" s="79">
        <v>8</v>
      </c>
      <c r="Q10" s="79">
        <v>8</v>
      </c>
      <c r="R10" s="79">
        <v>8</v>
      </c>
      <c r="S10" s="79">
        <v>8</v>
      </c>
      <c r="T10" s="79">
        <v>8</v>
      </c>
      <c r="U10" s="79">
        <v>8</v>
      </c>
      <c r="V10" s="79"/>
      <c r="W10" s="79"/>
      <c r="X10" s="79">
        <v>8</v>
      </c>
      <c r="Y10" s="79">
        <v>8</v>
      </c>
      <c r="Z10" s="79">
        <v>8</v>
      </c>
      <c r="AA10" s="79">
        <v>8</v>
      </c>
      <c r="AB10" s="79">
        <v>8</v>
      </c>
      <c r="AC10" s="79">
        <v>8</v>
      </c>
      <c r="AD10" s="79">
        <v>8</v>
      </c>
      <c r="AE10" s="79">
        <v>8</v>
      </c>
      <c r="AF10" s="79">
        <v>8</v>
      </c>
      <c r="AG10" s="79">
        <v>8</v>
      </c>
      <c r="AH10" s="79">
        <v>8</v>
      </c>
      <c r="AI10" s="79">
        <v>8</v>
      </c>
      <c r="AJ10" s="79">
        <v>8</v>
      </c>
      <c r="AK10" s="79">
        <v>8</v>
      </c>
      <c r="AL10" s="79">
        <v>8</v>
      </c>
      <c r="AM10" s="79">
        <v>8</v>
      </c>
    </row>
    <row r="11" spans="1:39" x14ac:dyDescent="0.25">
      <c r="A11" t="s">
        <v>294</v>
      </c>
      <c r="B11" s="61">
        <v>302.5</v>
      </c>
      <c r="C11" s="7">
        <f>IF(C10=0,B11*'Loonkosten PO'!C5,0)</f>
        <v>0</v>
      </c>
      <c r="E11" s="7"/>
      <c r="F11" s="79" t="s">
        <v>26</v>
      </c>
      <c r="G11" s="79"/>
      <c r="H11" s="104">
        <f>SUM(H7:H10)*12</f>
        <v>0</v>
      </c>
      <c r="I11" s="102" t="s">
        <v>97</v>
      </c>
      <c r="J11" s="40" t="s">
        <v>55</v>
      </c>
      <c r="K11" s="79">
        <v>9</v>
      </c>
      <c r="L11" s="79">
        <v>9</v>
      </c>
      <c r="M11" s="79">
        <v>8</v>
      </c>
      <c r="N11" s="79">
        <v>9</v>
      </c>
      <c r="O11" s="79">
        <v>9</v>
      </c>
      <c r="P11" s="79">
        <v>9</v>
      </c>
      <c r="Q11" s="79">
        <v>9</v>
      </c>
      <c r="R11" s="79">
        <v>9</v>
      </c>
      <c r="S11" s="79">
        <v>9</v>
      </c>
      <c r="T11" s="79">
        <v>9</v>
      </c>
      <c r="U11" s="79">
        <v>9</v>
      </c>
      <c r="V11" s="79"/>
      <c r="W11" s="79"/>
      <c r="X11" s="79"/>
      <c r="Y11" s="79">
        <v>9</v>
      </c>
      <c r="Z11" s="79">
        <v>9</v>
      </c>
      <c r="AA11" s="79">
        <v>9</v>
      </c>
      <c r="AB11" s="79">
        <v>9</v>
      </c>
      <c r="AC11" s="79">
        <v>9</v>
      </c>
      <c r="AD11" s="79">
        <v>9</v>
      </c>
      <c r="AE11" s="79">
        <v>9</v>
      </c>
      <c r="AF11" s="79">
        <v>9</v>
      </c>
      <c r="AG11" s="79">
        <v>9</v>
      </c>
      <c r="AH11" s="79">
        <v>9</v>
      </c>
      <c r="AI11" s="79">
        <v>9</v>
      </c>
      <c r="AJ11" s="79">
        <v>9</v>
      </c>
      <c r="AK11" s="79">
        <v>9</v>
      </c>
      <c r="AL11" s="79">
        <v>9</v>
      </c>
      <c r="AM11" s="79">
        <v>9</v>
      </c>
    </row>
    <row r="12" spans="1:39" x14ac:dyDescent="0.25">
      <c r="A12" t="s">
        <v>25</v>
      </c>
      <c r="C12" s="7">
        <f>IF(F24="A_10",G15,IF(F24="A_11",G15,IF(F24="A_12",G16,IF(F24="D_11",G17,IF(F24="D_12",G17,IF(F24="D_13",G18,0))))))*'Loonkosten PO'!C5</f>
        <v>0</v>
      </c>
      <c r="E12" s="7"/>
      <c r="F12" s="56" t="str">
        <f>'Loonkosten PO'!C3&amp;'Loonkosten PO'!C4</f>
        <v>LB12</v>
      </c>
      <c r="G12" s="79"/>
      <c r="H12" s="79"/>
      <c r="I12" s="102" t="s">
        <v>98</v>
      </c>
      <c r="J12" s="40" t="s">
        <v>56</v>
      </c>
      <c r="K12" s="79">
        <v>10</v>
      </c>
      <c r="L12" s="79">
        <v>10</v>
      </c>
      <c r="M12" s="79">
        <v>9</v>
      </c>
      <c r="N12" s="79">
        <v>10</v>
      </c>
      <c r="O12" s="79">
        <v>10</v>
      </c>
      <c r="P12" s="79">
        <v>10</v>
      </c>
      <c r="Q12" s="79">
        <v>10</v>
      </c>
      <c r="R12" s="79">
        <v>10</v>
      </c>
      <c r="S12" s="79">
        <v>10</v>
      </c>
      <c r="T12" s="79">
        <v>10</v>
      </c>
      <c r="U12" s="79">
        <v>10</v>
      </c>
      <c r="V12" s="79"/>
      <c r="W12" s="79"/>
      <c r="X12" s="79"/>
      <c r="Y12" s="79"/>
      <c r="Z12" s="79">
        <v>10</v>
      </c>
      <c r="AA12" s="79">
        <v>10</v>
      </c>
      <c r="AB12" s="79">
        <v>10</v>
      </c>
      <c r="AC12" s="79">
        <v>10</v>
      </c>
      <c r="AD12" s="79">
        <v>10</v>
      </c>
      <c r="AE12" s="79">
        <v>10</v>
      </c>
      <c r="AF12" s="79">
        <v>10</v>
      </c>
      <c r="AG12" s="79">
        <v>10</v>
      </c>
      <c r="AH12" s="79">
        <v>10</v>
      </c>
      <c r="AI12" s="79">
        <v>10</v>
      </c>
      <c r="AJ12" s="79">
        <v>10</v>
      </c>
      <c r="AK12" s="79">
        <v>10</v>
      </c>
      <c r="AL12" s="79">
        <v>10</v>
      </c>
      <c r="AM12" s="79">
        <v>10</v>
      </c>
    </row>
    <row r="13" spans="1:39" x14ac:dyDescent="0.25">
      <c r="A13" t="s">
        <v>26</v>
      </c>
      <c r="C13" s="7">
        <f>'Loonkosten PO'!C5*'percentages ed'!H11</f>
        <v>0</v>
      </c>
      <c r="E13" s="7"/>
      <c r="F13" s="79" t="str">
        <f>LEFT(F12,3)</f>
        <v>LB1</v>
      </c>
      <c r="G13" s="79"/>
      <c r="H13" s="105"/>
      <c r="I13" s="102" t="s">
        <v>101</v>
      </c>
      <c r="J13" s="40" t="s">
        <v>57</v>
      </c>
      <c r="K13" s="79">
        <v>11</v>
      </c>
      <c r="L13" s="79">
        <v>11</v>
      </c>
      <c r="M13" s="79">
        <v>10</v>
      </c>
      <c r="N13" s="79">
        <v>11</v>
      </c>
      <c r="O13" s="79">
        <v>11</v>
      </c>
      <c r="P13" s="79">
        <v>11</v>
      </c>
      <c r="Q13" s="79">
        <v>11</v>
      </c>
      <c r="R13" s="79">
        <v>11</v>
      </c>
      <c r="S13" s="79">
        <v>11</v>
      </c>
      <c r="T13" s="79">
        <v>11</v>
      </c>
      <c r="U13" s="79">
        <v>11</v>
      </c>
      <c r="V13" s="79"/>
      <c r="W13" s="79"/>
      <c r="X13" s="79"/>
      <c r="Y13" s="79"/>
      <c r="Z13" s="79">
        <v>11</v>
      </c>
      <c r="AA13" s="79">
        <v>11</v>
      </c>
      <c r="AB13" s="79">
        <v>11</v>
      </c>
      <c r="AC13" s="79">
        <v>11</v>
      </c>
      <c r="AD13" s="79">
        <v>11</v>
      </c>
      <c r="AE13" s="79"/>
      <c r="AF13" s="79">
        <v>11</v>
      </c>
      <c r="AG13" s="79">
        <v>11</v>
      </c>
      <c r="AH13" s="79">
        <v>11</v>
      </c>
      <c r="AI13" s="79">
        <v>11</v>
      </c>
      <c r="AJ13" s="79">
        <v>11</v>
      </c>
      <c r="AK13" s="79">
        <v>11</v>
      </c>
      <c r="AL13" s="79">
        <v>11</v>
      </c>
      <c r="AM13" s="79">
        <v>11</v>
      </c>
    </row>
    <row r="14" spans="1:39" x14ac:dyDescent="0.25">
      <c r="A14" t="s">
        <v>99</v>
      </c>
      <c r="B14" s="15"/>
      <c r="C14" s="7">
        <f>12*'Loonkosten PO'!C7</f>
        <v>0</v>
      </c>
      <c r="D14" s="8">
        <f>C6+C14</f>
        <v>33120</v>
      </c>
      <c r="E14" s="7"/>
      <c r="F14" s="79">
        <f>IF(F13="IDn",1,IF(F13="Sch",1,IF(F13="Par",1,0)))</f>
        <v>0</v>
      </c>
      <c r="G14" s="79"/>
      <c r="H14" s="105"/>
      <c r="I14" s="77" t="s">
        <v>58</v>
      </c>
      <c r="J14" s="41" t="s">
        <v>58</v>
      </c>
      <c r="K14" s="79">
        <v>12</v>
      </c>
      <c r="L14" s="79">
        <v>12</v>
      </c>
      <c r="M14" s="79">
        <v>11</v>
      </c>
      <c r="N14" s="79">
        <v>12</v>
      </c>
      <c r="O14" s="79">
        <v>12</v>
      </c>
      <c r="P14" s="79"/>
      <c r="Q14" s="79">
        <v>12</v>
      </c>
      <c r="R14" s="79">
        <v>12</v>
      </c>
      <c r="S14" s="79">
        <v>12</v>
      </c>
      <c r="T14" s="79">
        <v>12</v>
      </c>
      <c r="U14" s="79">
        <v>12</v>
      </c>
      <c r="V14" s="79"/>
      <c r="W14" s="79"/>
      <c r="X14" s="79"/>
      <c r="Y14" s="79"/>
      <c r="Z14" s="79"/>
      <c r="AA14" s="79"/>
      <c r="AB14" s="79"/>
      <c r="AC14" s="79">
        <v>12</v>
      </c>
      <c r="AD14" s="79">
        <v>12</v>
      </c>
      <c r="AE14" s="79"/>
      <c r="AF14" s="79">
        <v>12</v>
      </c>
      <c r="AG14" s="79">
        <v>12</v>
      </c>
      <c r="AH14" s="79">
        <v>12</v>
      </c>
      <c r="AI14" s="79">
        <v>12</v>
      </c>
      <c r="AJ14" s="79"/>
      <c r="AK14" s="79">
        <v>12</v>
      </c>
      <c r="AL14" s="79">
        <v>12</v>
      </c>
      <c r="AM14" s="79">
        <v>12</v>
      </c>
    </row>
    <row r="15" spans="1:39" x14ac:dyDescent="0.25">
      <c r="B15" s="64"/>
      <c r="C15" s="7"/>
      <c r="D15" s="8"/>
      <c r="E15" s="7"/>
      <c r="F15" s="79" t="s">
        <v>100</v>
      </c>
      <c r="G15" s="103">
        <v>1760</v>
      </c>
      <c r="H15" s="105"/>
      <c r="I15" s="79" t="s">
        <v>105</v>
      </c>
      <c r="J15" s="41" t="s">
        <v>59</v>
      </c>
      <c r="K15" s="79"/>
      <c r="L15" s="79"/>
      <c r="M15" s="79">
        <v>12</v>
      </c>
      <c r="N15" s="79"/>
      <c r="O15" s="79">
        <v>13</v>
      </c>
      <c r="P15" s="79"/>
      <c r="Q15" s="79"/>
      <c r="R15" s="79"/>
      <c r="S15" s="79"/>
      <c r="T15" s="79"/>
      <c r="U15" s="79"/>
      <c r="V15" s="79"/>
      <c r="W15" s="79"/>
      <c r="X15" s="79"/>
      <c r="Y15" s="79"/>
      <c r="Z15" s="79"/>
      <c r="AA15" s="79"/>
      <c r="AB15" s="79"/>
      <c r="AC15" s="79"/>
      <c r="AD15" s="79"/>
      <c r="AE15" s="79"/>
      <c r="AF15" s="79"/>
      <c r="AG15" s="79"/>
      <c r="AH15" s="79"/>
      <c r="AI15" s="79">
        <v>13</v>
      </c>
      <c r="AJ15" s="79"/>
      <c r="AK15" s="79"/>
      <c r="AL15" s="79"/>
    </row>
    <row r="16" spans="1:39" x14ac:dyDescent="0.25">
      <c r="A16" t="s">
        <v>103</v>
      </c>
      <c r="C16" s="8">
        <f>(C6+C8+C9+C10+C11+C12+C13+C14)/'Loonkosten PO'!C5</f>
        <v>78696.991999999998</v>
      </c>
      <c r="D16" t="s">
        <v>14</v>
      </c>
      <c r="F16" s="79" t="s">
        <v>102</v>
      </c>
      <c r="G16" s="103">
        <v>880</v>
      </c>
      <c r="H16" s="105"/>
      <c r="I16" s="79" t="s">
        <v>108</v>
      </c>
      <c r="J16" s="41" t="s">
        <v>60</v>
      </c>
      <c r="K16" s="79"/>
      <c r="L16" s="79"/>
      <c r="M16" s="79">
        <v>13</v>
      </c>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row>
    <row r="17" spans="1:38" x14ac:dyDescent="0.25">
      <c r="A17" t="s">
        <v>106</v>
      </c>
      <c r="B17" s="16">
        <v>19200</v>
      </c>
      <c r="C17" s="17" t="s">
        <v>107</v>
      </c>
      <c r="D17" s="11">
        <f>C16*'Loonkosten PO'!C5-('Loonkosten PO'!C5*B17)</f>
        <v>29748.495999999999</v>
      </c>
      <c r="E17" s="11"/>
      <c r="F17" s="79" t="s">
        <v>104</v>
      </c>
      <c r="G17" s="103">
        <v>2640</v>
      </c>
      <c r="H17" s="105"/>
      <c r="I17" s="79" t="s">
        <v>110</v>
      </c>
      <c r="J17" s="41" t="s">
        <v>61</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row>
    <row r="18" spans="1:38" x14ac:dyDescent="0.25">
      <c r="A18" t="s">
        <v>109</v>
      </c>
      <c r="B18" s="16">
        <v>29700</v>
      </c>
      <c r="C18" s="17" t="s">
        <v>107</v>
      </c>
      <c r="D18" s="8">
        <f>C16*'Loonkosten PO'!C5-('Loonkosten PO'!C5*B18)</f>
        <v>24498.495999999999</v>
      </c>
      <c r="E18" s="11"/>
      <c r="F18" s="79"/>
      <c r="G18" s="79"/>
      <c r="H18" s="105"/>
      <c r="I18" s="79" t="s">
        <v>113</v>
      </c>
      <c r="J18" s="41" t="s">
        <v>1</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1:38" x14ac:dyDescent="0.25">
      <c r="B19" s="18" t="s">
        <v>111</v>
      </c>
      <c r="C19" s="18" t="s">
        <v>112</v>
      </c>
      <c r="D19" s="18" t="s">
        <v>112</v>
      </c>
      <c r="E19" s="18" t="s">
        <v>111</v>
      </c>
      <c r="F19" s="79"/>
      <c r="G19" s="79"/>
      <c r="H19" s="105"/>
      <c r="I19" s="79" t="s">
        <v>115</v>
      </c>
      <c r="J19" s="41" t="s">
        <v>62</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0" spans="1:38" x14ac:dyDescent="0.25">
      <c r="A20" t="s">
        <v>114</v>
      </c>
      <c r="B20" s="19">
        <v>0.18970000000000001</v>
      </c>
      <c r="C20" s="19">
        <v>8.1299999999999997E-2</v>
      </c>
      <c r="D20" s="20">
        <f>D17*C20</f>
        <v>2418.5527247999999</v>
      </c>
      <c r="E20" s="21">
        <f>B20*D17</f>
        <v>5643.2896911999997</v>
      </c>
      <c r="F20" s="79"/>
      <c r="G20" s="79"/>
      <c r="H20" s="105"/>
      <c r="I20" s="79" t="s">
        <v>117</v>
      </c>
      <c r="J20" s="41" t="s">
        <v>63</v>
      </c>
      <c r="M20" s="79"/>
      <c r="O20" s="79"/>
      <c r="P20" s="79"/>
      <c r="Q20" s="79"/>
      <c r="U20" s="79"/>
    </row>
    <row r="21" spans="1:38" x14ac:dyDescent="0.25">
      <c r="A21" t="s">
        <v>116</v>
      </c>
      <c r="B21" s="19">
        <v>8.3999999999999995E-3</v>
      </c>
      <c r="C21" s="19">
        <v>3.5999999999999999E-3</v>
      </c>
      <c r="D21" s="20">
        <f>D18*C21</f>
        <v>88.194585599999996</v>
      </c>
      <c r="E21" s="21">
        <f>B21*D18</f>
        <v>205.78736639999997</v>
      </c>
      <c r="F21" s="79"/>
      <c r="G21" s="79"/>
      <c r="H21" s="105"/>
      <c r="I21" s="79" t="s">
        <v>118</v>
      </c>
      <c r="J21" s="41" t="s">
        <v>64</v>
      </c>
      <c r="M21" s="79"/>
      <c r="P21" s="79"/>
      <c r="Q21" s="79"/>
    </row>
    <row r="22" spans="1:38" x14ac:dyDescent="0.25">
      <c r="A22" t="s">
        <v>119</v>
      </c>
      <c r="B22" s="23">
        <v>79409</v>
      </c>
      <c r="C22" s="11"/>
      <c r="D22" s="1"/>
      <c r="E22" s="20"/>
      <c r="F22" s="79"/>
      <c r="G22" s="79"/>
      <c r="H22" s="105"/>
      <c r="I22" s="79" t="s">
        <v>120</v>
      </c>
      <c r="J22" s="41" t="s">
        <v>65</v>
      </c>
      <c r="Q22" s="79"/>
    </row>
    <row r="23" spans="1:38" x14ac:dyDescent="0.25">
      <c r="A23" t="s">
        <v>121</v>
      </c>
      <c r="B23" s="19">
        <v>6.0999999999999999E-2</v>
      </c>
      <c r="C23" s="11"/>
      <c r="D23" s="20"/>
      <c r="E23" s="21">
        <f>IF(D25&lt;B22,B23*D25,B23*B22)</f>
        <v>2247.3466700655999</v>
      </c>
      <c r="F23" s="79"/>
      <c r="G23" s="79"/>
      <c r="H23" s="105"/>
      <c r="I23" s="79" t="s">
        <v>122</v>
      </c>
      <c r="J23" s="41" t="s">
        <v>66</v>
      </c>
    </row>
    <row r="24" spans="1:38" x14ac:dyDescent="0.25">
      <c r="B24" s="22"/>
      <c r="C24" s="11"/>
      <c r="D24" s="1"/>
      <c r="E24" s="20"/>
      <c r="F24" s="79" t="str">
        <f>'Loonkosten PO'!C3</f>
        <v>LB</v>
      </c>
      <c r="G24" s="79"/>
      <c r="H24" s="105"/>
      <c r="I24" s="79" t="s">
        <v>123</v>
      </c>
      <c r="J24" s="41" t="s">
        <v>67</v>
      </c>
    </row>
    <row r="25" spans="1:38" x14ac:dyDescent="0.25">
      <c r="A25" t="s">
        <v>124</v>
      </c>
      <c r="B25" s="22"/>
      <c r="C25" s="11"/>
      <c r="D25" s="11">
        <f>C16*'Loonkosten PO'!C5-D20-D21</f>
        <v>36841.748689599997</v>
      </c>
      <c r="E25" s="20"/>
      <c r="F25" s="79">
        <f>'Loonkosten PO'!C4</f>
        <v>12</v>
      </c>
      <c r="G25" s="79"/>
      <c r="H25" s="105"/>
      <c r="I25" s="79" t="s">
        <v>125</v>
      </c>
      <c r="J25" s="41" t="s">
        <v>68</v>
      </c>
    </row>
    <row r="26" spans="1:38" x14ac:dyDescent="0.25">
      <c r="A26" t="s">
        <v>126</v>
      </c>
      <c r="B26" s="23">
        <v>79409</v>
      </c>
      <c r="C26" s="11"/>
      <c r="D26" s="1"/>
      <c r="E26" s="20"/>
      <c r="F26" s="79" t="str">
        <f>CONCATENATE(F24,F25)</f>
        <v>LB12</v>
      </c>
      <c r="G26" s="79"/>
      <c r="H26" s="105"/>
      <c r="I26" s="79" t="s">
        <v>127</v>
      </c>
      <c r="J26" s="41" t="s">
        <v>69</v>
      </c>
    </row>
    <row r="27" spans="1:38" x14ac:dyDescent="0.25">
      <c r="B27" s="24" t="s">
        <v>111</v>
      </c>
      <c r="C27" s="17" t="s">
        <v>14</v>
      </c>
      <c r="D27" s="1"/>
      <c r="E27" s="20"/>
      <c r="F27" s="79"/>
      <c r="G27" s="79"/>
      <c r="H27" s="105"/>
      <c r="I27" s="79" t="s">
        <v>128</v>
      </c>
      <c r="J27" s="41" t="s">
        <v>70</v>
      </c>
    </row>
    <row r="28" spans="1:38" x14ac:dyDescent="0.25">
      <c r="A28" t="s">
        <v>129</v>
      </c>
      <c r="B28" s="24"/>
      <c r="C28" s="17"/>
      <c r="D28" s="60">
        <f>12*(VLOOKUP(I2,'salaristabel PO'!A4:R32,J1+2,0))*1.08</f>
        <v>71539.200000000012</v>
      </c>
      <c r="E28" s="20"/>
      <c r="F28" s="79"/>
      <c r="G28" s="79"/>
      <c r="H28" s="105"/>
      <c r="I28" s="79" t="s">
        <v>130</v>
      </c>
      <c r="J28" s="41" t="s">
        <v>71</v>
      </c>
    </row>
    <row r="29" spans="1:38" x14ac:dyDescent="0.25">
      <c r="A29" s="25" t="s">
        <v>131</v>
      </c>
      <c r="B29" s="26">
        <f>7.63%+0.5%</f>
        <v>8.1299999999999997E-2</v>
      </c>
      <c r="C29" s="11"/>
      <c r="D29" s="1"/>
      <c r="E29" s="20">
        <f>IF(D$25&gt;B$26,B29*B$26,B29*D$25)</f>
        <v>2995.2341684644798</v>
      </c>
      <c r="F29" s="79"/>
      <c r="G29" s="79"/>
      <c r="H29" s="105"/>
      <c r="I29" s="79" t="s">
        <v>132</v>
      </c>
      <c r="J29" s="41" t="s">
        <v>72</v>
      </c>
    </row>
    <row r="30" spans="1:38" x14ac:dyDescent="0.25">
      <c r="A30" s="25" t="s">
        <v>133</v>
      </c>
      <c r="B30" s="19">
        <v>6.7999999999999996E-3</v>
      </c>
      <c r="C30" s="11"/>
      <c r="D30" s="1"/>
      <c r="E30" s="20">
        <f>IF(D$25&gt;B$26,B30*B$26,B30*D$25)</f>
        <v>250.52389108927997</v>
      </c>
      <c r="F30" s="79"/>
      <c r="G30" s="79"/>
      <c r="H30" s="105"/>
      <c r="I30" s="79" t="s">
        <v>134</v>
      </c>
      <c r="J30" s="41" t="s">
        <v>73</v>
      </c>
    </row>
    <row r="31" spans="1:38" x14ac:dyDescent="0.25">
      <c r="A31" s="25" t="s">
        <v>135</v>
      </c>
      <c r="B31" s="19">
        <f>IF('Loonkosten PO'!C9='percentages ed'!F32,'percentages ed'!G32,
IF('Loonkosten PO'!C9='percentages ed'!F33,'percentages ed'!G33,
IF('Loonkosten PO'!C9='percentages ed'!F34,'percentages ed'!G34,
IF('Loonkosten PO'!C9='percentages ed'!F35,'percentages ed'!G35,
IF('Loonkosten PO'!C9='percentages ed'!F36,'percentages ed'!G36,
IF('Loonkosten PO'!C9='percentages ed'!F37,'percentages ed'!G37, 0))))))</f>
        <v>0</v>
      </c>
      <c r="C31" s="11"/>
      <c r="D31" s="1"/>
      <c r="E31" s="20">
        <f>D28*'Loonkosten PO'!C5*'percentages ed'!B31</f>
        <v>0</v>
      </c>
      <c r="F31" s="79"/>
      <c r="G31" s="79"/>
      <c r="H31" s="105"/>
      <c r="I31" s="79" t="s">
        <v>136</v>
      </c>
      <c r="J31" s="41" t="s">
        <v>74</v>
      </c>
    </row>
    <row r="32" spans="1:38" x14ac:dyDescent="0.25">
      <c r="A32" s="25" t="s">
        <v>137</v>
      </c>
      <c r="B32" s="19">
        <v>6.0000000000000001E-3</v>
      </c>
      <c r="C32" s="11"/>
      <c r="D32" s="1"/>
      <c r="E32" s="20">
        <f>B32*D28*'Loonkosten PO'!C5</f>
        <v>214.61760000000004</v>
      </c>
      <c r="F32" s="103" t="s">
        <v>280</v>
      </c>
      <c r="G32" s="107">
        <v>5.8999999999999997E-2</v>
      </c>
      <c r="H32" s="105"/>
    </row>
    <row r="33" spans="1:8" x14ac:dyDescent="0.25">
      <c r="A33" s="25" t="s">
        <v>29</v>
      </c>
      <c r="B33" s="22"/>
      <c r="C33" s="11"/>
      <c r="D33" s="1"/>
      <c r="E33" s="59">
        <f>SUM(E29:E32)</f>
        <v>3460.3756595537598</v>
      </c>
      <c r="F33" s="103" t="s">
        <v>281</v>
      </c>
      <c r="G33" s="108">
        <v>0</v>
      </c>
      <c r="H33" s="105"/>
    </row>
    <row r="34" spans="1:8" x14ac:dyDescent="0.25">
      <c r="A34" s="1"/>
      <c r="B34" s="1"/>
      <c r="D34" s="1"/>
      <c r="E34" s="1"/>
      <c r="F34" s="103" t="s">
        <v>282</v>
      </c>
      <c r="G34" s="109">
        <v>3.9E-2</v>
      </c>
      <c r="H34" s="105"/>
    </row>
    <row r="35" spans="1:8" x14ac:dyDescent="0.25">
      <c r="A35" t="s">
        <v>138</v>
      </c>
      <c r="B35" s="27">
        <f>12*(1+B8+B9)</f>
        <v>13.9596</v>
      </c>
      <c r="C35" s="1"/>
      <c r="D35" s="1"/>
      <c r="E35" s="1"/>
      <c r="F35" s="103" t="s">
        <v>283</v>
      </c>
      <c r="G35" s="109">
        <v>2.5999999999999999E-2</v>
      </c>
      <c r="H35" s="105"/>
    </row>
    <row r="36" spans="1:8" x14ac:dyDescent="0.25">
      <c r="A36" s="1"/>
      <c r="B36" s="1"/>
      <c r="C36" s="1"/>
      <c r="D36" s="1"/>
      <c r="E36" s="1"/>
      <c r="F36" s="103" t="s">
        <v>284</v>
      </c>
      <c r="G36" s="109">
        <v>3.5000000000000001E-3</v>
      </c>
      <c r="H36" s="105"/>
    </row>
    <row r="37" spans="1:8" x14ac:dyDescent="0.25">
      <c r="A37" s="1"/>
      <c r="B37" s="1"/>
      <c r="C37" s="1"/>
      <c r="D37" s="1"/>
      <c r="E37" s="1"/>
      <c r="F37" s="103" t="s">
        <v>285</v>
      </c>
      <c r="G37" s="109">
        <v>1.5E-3</v>
      </c>
      <c r="H37" s="105"/>
    </row>
    <row r="38" spans="1:8" x14ac:dyDescent="0.25">
      <c r="F38" s="79"/>
      <c r="G38" s="79"/>
      <c r="H38" s="105"/>
    </row>
    <row r="39" spans="1:8" x14ac:dyDescent="0.25">
      <c r="F39" s="79"/>
      <c r="G39" s="79"/>
    </row>
  </sheetData>
  <sheetProtection algorithmName="SHA-512" hashValue="Zd5thUxJYYho0LlnCnXZMtf+rC7FxdmLG2smMVpHdEbmlo8WjfIY67oQPU5n27Asgg+gqKrPo9FxeOrmmQYOAw==" saltValue="+Ujqhgqunfz558z0r3YBPg==" spinCount="100000" sheet="1" objects="1" scenarios="1"/>
  <dataValidations count="1">
    <dataValidation type="list" allowBlank="1" showInputMessage="1" showErrorMessage="1" sqref="I2" xr:uid="{00000000-0002-0000-0100-000000000000}">
      <formula1>schaal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W32"/>
  <sheetViews>
    <sheetView workbookViewId="0">
      <selection activeCell="O25" sqref="O25"/>
    </sheetView>
  </sheetViews>
  <sheetFormatPr defaultColWidth="9.140625" defaultRowHeight="15" x14ac:dyDescent="0.25"/>
  <cols>
    <col min="3" max="22" width="9.140625" customWidth="1"/>
  </cols>
  <sheetData>
    <row r="1" spans="1:23" x14ac:dyDescent="0.25">
      <c r="A1" s="28" t="s">
        <v>139</v>
      </c>
      <c r="B1" s="29"/>
      <c r="C1" s="71">
        <v>46204</v>
      </c>
      <c r="D1" s="30"/>
      <c r="E1" s="29"/>
      <c r="F1" s="30"/>
      <c r="G1" s="30"/>
      <c r="H1" s="30"/>
      <c r="I1" s="30"/>
      <c r="J1" s="31"/>
      <c r="K1" s="31"/>
      <c r="L1" s="31"/>
      <c r="M1" s="31"/>
      <c r="N1" s="31"/>
      <c r="O1" s="31"/>
      <c r="P1" s="31"/>
      <c r="Q1" s="31"/>
      <c r="R1" s="31"/>
      <c r="S1" s="31"/>
      <c r="T1" s="31"/>
      <c r="U1" s="31"/>
      <c r="V1" s="31"/>
      <c r="W1" s="31"/>
    </row>
    <row r="2" spans="1:23" x14ac:dyDescent="0.25">
      <c r="A2" s="31" t="s">
        <v>140</v>
      </c>
      <c r="B2" s="29"/>
      <c r="C2" s="29"/>
      <c r="D2" s="32"/>
      <c r="E2" s="29"/>
      <c r="F2" s="29"/>
      <c r="G2" s="30"/>
      <c r="H2" s="30"/>
      <c r="I2" s="29"/>
      <c r="J2" s="31"/>
      <c r="K2" s="33"/>
      <c r="L2" s="31"/>
      <c r="M2" s="31"/>
      <c r="N2" s="31"/>
      <c r="O2" s="31"/>
      <c r="P2" s="31"/>
      <c r="Q2" s="31"/>
      <c r="R2" s="31"/>
      <c r="S2" s="31"/>
      <c r="T2" s="31"/>
      <c r="U2" s="31"/>
      <c r="V2" s="31"/>
      <c r="W2" s="31"/>
    </row>
    <row r="3" spans="1:23" x14ac:dyDescent="0.25">
      <c r="A3" s="28" t="s">
        <v>141</v>
      </c>
      <c r="B3" s="29"/>
      <c r="C3" s="34">
        <v>1</v>
      </c>
      <c r="D3" s="34">
        <v>2</v>
      </c>
      <c r="E3" s="34">
        <v>3</v>
      </c>
      <c r="F3" s="34">
        <v>4</v>
      </c>
      <c r="G3" s="34">
        <v>5</v>
      </c>
      <c r="H3" s="34">
        <v>6</v>
      </c>
      <c r="I3" s="34">
        <v>7</v>
      </c>
      <c r="J3" s="34">
        <v>8</v>
      </c>
      <c r="K3" s="34">
        <v>9</v>
      </c>
      <c r="L3" s="34">
        <v>10</v>
      </c>
      <c r="M3" s="34">
        <v>11</v>
      </c>
      <c r="N3" s="34">
        <v>12</v>
      </c>
      <c r="O3" s="34">
        <v>13</v>
      </c>
      <c r="P3" s="34">
        <v>14</v>
      </c>
      <c r="Q3" s="34">
        <v>15</v>
      </c>
      <c r="R3" s="34">
        <v>16</v>
      </c>
      <c r="S3" s="72" t="s">
        <v>142</v>
      </c>
    </row>
    <row r="4" spans="1:23" x14ac:dyDescent="0.25">
      <c r="A4" s="35" t="s">
        <v>47</v>
      </c>
      <c r="B4" s="36"/>
      <c r="C4" s="76">
        <v>3644</v>
      </c>
      <c r="D4" s="76">
        <v>3817</v>
      </c>
      <c r="E4" s="76">
        <v>4015</v>
      </c>
      <c r="F4" s="76">
        <v>4213</v>
      </c>
      <c r="G4" s="76">
        <v>4409</v>
      </c>
      <c r="H4" s="76">
        <v>4629</v>
      </c>
      <c r="I4" s="76">
        <v>4873</v>
      </c>
      <c r="J4" s="76">
        <v>5138</v>
      </c>
      <c r="K4" s="76">
        <v>5427</v>
      </c>
      <c r="L4" s="76">
        <v>5740</v>
      </c>
      <c r="M4" s="76">
        <v>6074</v>
      </c>
      <c r="N4" s="76">
        <v>6432</v>
      </c>
      <c r="O4" s="76"/>
      <c r="P4" s="76"/>
      <c r="Q4" s="76"/>
      <c r="R4" s="76"/>
      <c r="S4" s="37">
        <f t="shared" ref="S4:S14" si="0">COUNT(C4:R4)</f>
        <v>12</v>
      </c>
      <c r="U4" s="67" t="s">
        <v>143</v>
      </c>
    </row>
    <row r="5" spans="1:23" x14ac:dyDescent="0.25">
      <c r="A5" s="35" t="s">
        <v>48</v>
      </c>
      <c r="B5" s="36"/>
      <c r="C5" s="76">
        <v>3659</v>
      </c>
      <c r="D5" s="76">
        <v>3874</v>
      </c>
      <c r="E5" s="76">
        <v>4125</v>
      </c>
      <c r="F5" s="76">
        <v>4376</v>
      </c>
      <c r="G5" s="76">
        <v>4627</v>
      </c>
      <c r="H5" s="76">
        <v>4910</v>
      </c>
      <c r="I5" s="76">
        <v>5225</v>
      </c>
      <c r="J5" s="76">
        <v>5577</v>
      </c>
      <c r="K5" s="76">
        <v>5960</v>
      </c>
      <c r="L5" s="76">
        <v>6378</v>
      </c>
      <c r="M5" s="76">
        <v>6828</v>
      </c>
      <c r="N5" s="76">
        <v>7313</v>
      </c>
      <c r="O5" s="76"/>
      <c r="P5" s="76"/>
      <c r="Q5" s="76"/>
      <c r="R5" s="76"/>
      <c r="S5" s="37">
        <f t="shared" si="0"/>
        <v>12</v>
      </c>
      <c r="U5" s="67" t="s">
        <v>144</v>
      </c>
    </row>
    <row r="6" spans="1:23" x14ac:dyDescent="0.25">
      <c r="A6" s="35" t="s">
        <v>49</v>
      </c>
      <c r="B6" s="36"/>
      <c r="C6" s="76">
        <v>5691</v>
      </c>
      <c r="D6" s="76">
        <v>5889</v>
      </c>
      <c r="E6" s="76">
        <v>6088</v>
      </c>
      <c r="F6" s="76">
        <v>6285</v>
      </c>
      <c r="G6" s="76">
        <v>6483</v>
      </c>
      <c r="H6" s="76">
        <v>6682</v>
      </c>
      <c r="I6" s="76">
        <v>6879</v>
      </c>
      <c r="J6" s="76">
        <v>7076</v>
      </c>
      <c r="K6" s="76">
        <v>7274</v>
      </c>
      <c r="L6" s="76">
        <v>7471</v>
      </c>
      <c r="M6" s="76">
        <v>7670</v>
      </c>
      <c r="N6" s="76">
        <v>7867</v>
      </c>
      <c r="O6" s="76">
        <v>8065</v>
      </c>
      <c r="P6" s="76"/>
      <c r="Q6" s="76"/>
      <c r="R6" s="76"/>
      <c r="S6" s="37">
        <f t="shared" si="0"/>
        <v>13</v>
      </c>
      <c r="U6" s="67" t="s">
        <v>145</v>
      </c>
    </row>
    <row r="7" spans="1:23" x14ac:dyDescent="0.25">
      <c r="A7" s="35" t="s">
        <v>50</v>
      </c>
      <c r="B7" s="36"/>
      <c r="C7" s="76">
        <v>3659</v>
      </c>
      <c r="D7" s="76">
        <v>3874</v>
      </c>
      <c r="E7" s="76">
        <v>4125</v>
      </c>
      <c r="F7" s="76">
        <v>4376</v>
      </c>
      <c r="G7" s="76">
        <v>4627</v>
      </c>
      <c r="H7" s="76">
        <v>4910</v>
      </c>
      <c r="I7" s="76">
        <v>5225</v>
      </c>
      <c r="J7" s="76">
        <v>5577</v>
      </c>
      <c r="K7" s="76">
        <v>5960</v>
      </c>
      <c r="L7" s="76">
        <v>6378</v>
      </c>
      <c r="M7" s="76">
        <v>6828</v>
      </c>
      <c r="N7" s="76">
        <v>7313</v>
      </c>
      <c r="O7" s="76"/>
      <c r="P7" s="76"/>
      <c r="Q7" s="76"/>
      <c r="R7" s="76"/>
      <c r="S7" s="37">
        <f t="shared" si="0"/>
        <v>12</v>
      </c>
      <c r="U7" t="s">
        <v>146</v>
      </c>
    </row>
    <row r="8" spans="1:23" x14ac:dyDescent="0.25">
      <c r="A8" s="35" t="s">
        <v>51</v>
      </c>
      <c r="B8" s="36"/>
      <c r="C8" s="76">
        <v>5691</v>
      </c>
      <c r="D8" s="76">
        <v>5889</v>
      </c>
      <c r="E8" s="76">
        <v>6088</v>
      </c>
      <c r="F8" s="76">
        <v>6285</v>
      </c>
      <c r="G8" s="76">
        <v>6483</v>
      </c>
      <c r="H8" s="76">
        <v>6682</v>
      </c>
      <c r="I8" s="76">
        <v>6879</v>
      </c>
      <c r="J8" s="76">
        <v>7076</v>
      </c>
      <c r="K8" s="76">
        <v>7274</v>
      </c>
      <c r="L8" s="76">
        <v>7471</v>
      </c>
      <c r="M8" s="76">
        <v>7670</v>
      </c>
      <c r="N8" s="76">
        <v>7867</v>
      </c>
      <c r="O8" s="76">
        <v>8065</v>
      </c>
      <c r="P8" s="76"/>
      <c r="Q8" s="76"/>
      <c r="R8" s="76"/>
      <c r="S8" s="37">
        <f t="shared" si="0"/>
        <v>13</v>
      </c>
      <c r="U8" t="s">
        <v>147</v>
      </c>
    </row>
    <row r="9" spans="1:23" x14ac:dyDescent="0.25">
      <c r="A9" s="35" t="s">
        <v>52</v>
      </c>
      <c r="B9" s="36"/>
      <c r="C9" s="76">
        <v>6517</v>
      </c>
      <c r="D9" s="76">
        <v>6681</v>
      </c>
      <c r="E9" s="76">
        <v>7004</v>
      </c>
      <c r="F9" s="76">
        <v>7209</v>
      </c>
      <c r="G9" s="76">
        <v>7416</v>
      </c>
      <c r="H9" s="76">
        <v>7621</v>
      </c>
      <c r="I9" s="76">
        <v>7828</v>
      </c>
      <c r="J9" s="76">
        <v>8036</v>
      </c>
      <c r="K9" s="76">
        <v>8253</v>
      </c>
      <c r="L9" s="76">
        <v>8478</v>
      </c>
      <c r="M9" s="76">
        <v>8708</v>
      </c>
      <c r="N9" s="76"/>
      <c r="O9" s="76"/>
      <c r="P9" s="76"/>
      <c r="Q9" s="76"/>
      <c r="R9" s="76"/>
      <c r="S9" s="37">
        <f t="shared" si="0"/>
        <v>11</v>
      </c>
      <c r="U9" t="s">
        <v>148</v>
      </c>
    </row>
    <row r="10" spans="1:23" x14ac:dyDescent="0.25">
      <c r="A10" s="35" t="s">
        <v>53</v>
      </c>
      <c r="B10" s="36"/>
      <c r="C10" s="76">
        <v>6841</v>
      </c>
      <c r="D10" s="76">
        <v>7004</v>
      </c>
      <c r="E10" s="76">
        <v>7209</v>
      </c>
      <c r="F10" s="76">
        <v>7621</v>
      </c>
      <c r="G10" s="76">
        <v>7828</v>
      </c>
      <c r="H10" s="76">
        <v>8036</v>
      </c>
      <c r="I10" s="76">
        <v>8253</v>
      </c>
      <c r="J10" s="76">
        <v>8478</v>
      </c>
      <c r="K10" s="76">
        <v>8708</v>
      </c>
      <c r="L10" s="76">
        <v>8984</v>
      </c>
      <c r="M10" s="76">
        <v>9270</v>
      </c>
      <c r="N10" s="76">
        <v>9562</v>
      </c>
      <c r="O10" s="76"/>
      <c r="P10" s="76"/>
      <c r="Q10" s="76"/>
      <c r="R10" s="76"/>
      <c r="S10" s="37">
        <f t="shared" si="0"/>
        <v>12</v>
      </c>
      <c r="U10" t="s">
        <v>149</v>
      </c>
    </row>
    <row r="11" spans="1:23" x14ac:dyDescent="0.25">
      <c r="A11" s="73" t="s">
        <v>54</v>
      </c>
      <c r="B11" s="70"/>
      <c r="C11" s="76">
        <v>3622</v>
      </c>
      <c r="D11" s="76">
        <v>3710</v>
      </c>
      <c r="E11" s="76">
        <v>3821</v>
      </c>
      <c r="F11" s="76">
        <v>3933</v>
      </c>
      <c r="G11" s="76">
        <v>4046</v>
      </c>
      <c r="H11" s="76">
        <v>4185</v>
      </c>
      <c r="I11" s="76">
        <v>4348</v>
      </c>
      <c r="J11" s="76">
        <v>4533</v>
      </c>
      <c r="K11" s="76">
        <v>4742</v>
      </c>
      <c r="L11" s="76">
        <v>4975</v>
      </c>
      <c r="M11" s="76">
        <v>5234</v>
      </c>
      <c r="N11" s="76">
        <v>5520</v>
      </c>
      <c r="O11" s="76"/>
      <c r="P11" s="76"/>
      <c r="Q11" s="76"/>
      <c r="R11" s="76"/>
      <c r="S11" s="37">
        <f t="shared" si="0"/>
        <v>12</v>
      </c>
      <c r="U11" t="s">
        <v>150</v>
      </c>
    </row>
    <row r="12" spans="1:23" x14ac:dyDescent="0.25">
      <c r="A12" s="73" t="s">
        <v>55</v>
      </c>
      <c r="B12" s="70"/>
      <c r="C12" s="76">
        <v>3644</v>
      </c>
      <c r="D12" s="76">
        <v>3817</v>
      </c>
      <c r="E12" s="76">
        <v>4015</v>
      </c>
      <c r="F12" s="76">
        <v>4213</v>
      </c>
      <c r="G12" s="76">
        <v>4409</v>
      </c>
      <c r="H12" s="76">
        <v>4629</v>
      </c>
      <c r="I12" s="76">
        <v>4873</v>
      </c>
      <c r="J12" s="76">
        <v>5138</v>
      </c>
      <c r="K12" s="76">
        <v>5427</v>
      </c>
      <c r="L12" s="76">
        <v>5740</v>
      </c>
      <c r="M12" s="76">
        <v>6074</v>
      </c>
      <c r="N12" s="76">
        <v>6432</v>
      </c>
      <c r="O12" s="76"/>
      <c r="P12" s="76"/>
      <c r="Q12" s="76"/>
      <c r="R12" s="76"/>
      <c r="S12" s="37">
        <f t="shared" si="0"/>
        <v>12</v>
      </c>
      <c r="U12" t="s">
        <v>151</v>
      </c>
    </row>
    <row r="13" spans="1:23" x14ac:dyDescent="0.25">
      <c r="A13" s="73" t="s">
        <v>56</v>
      </c>
      <c r="B13" s="70"/>
      <c r="C13" s="76">
        <v>3659</v>
      </c>
      <c r="D13" s="76">
        <v>3874</v>
      </c>
      <c r="E13" s="76">
        <v>4125</v>
      </c>
      <c r="F13" s="76">
        <v>4376</v>
      </c>
      <c r="G13" s="76">
        <v>4627</v>
      </c>
      <c r="H13" s="76">
        <v>4910</v>
      </c>
      <c r="I13" s="76">
        <v>5225</v>
      </c>
      <c r="J13" s="76">
        <v>5577</v>
      </c>
      <c r="K13" s="76">
        <v>5960</v>
      </c>
      <c r="L13" s="76">
        <v>6378</v>
      </c>
      <c r="M13" s="76">
        <v>6828</v>
      </c>
      <c r="N13" s="76">
        <v>7313</v>
      </c>
      <c r="O13" s="76"/>
      <c r="P13" s="76"/>
      <c r="Q13" s="76"/>
      <c r="R13" s="76"/>
      <c r="S13" s="37">
        <f t="shared" si="0"/>
        <v>12</v>
      </c>
      <c r="U13" t="s">
        <v>152</v>
      </c>
    </row>
    <row r="14" spans="1:23" x14ac:dyDescent="0.25">
      <c r="A14" s="73" t="s">
        <v>57</v>
      </c>
      <c r="B14" s="70"/>
      <c r="C14" s="76">
        <v>4695</v>
      </c>
      <c r="D14" s="76">
        <v>4870</v>
      </c>
      <c r="E14" s="76">
        <v>5025</v>
      </c>
      <c r="F14" s="76">
        <v>5341</v>
      </c>
      <c r="G14" s="76">
        <v>5691</v>
      </c>
      <c r="H14" s="76">
        <v>6011</v>
      </c>
      <c r="I14" s="76">
        <v>6329</v>
      </c>
      <c r="J14" s="76">
        <v>6649</v>
      </c>
      <c r="K14" s="76">
        <v>6969</v>
      </c>
      <c r="L14" s="76">
        <v>7287</v>
      </c>
      <c r="M14" s="76">
        <v>7605</v>
      </c>
      <c r="N14" s="76">
        <v>8065</v>
      </c>
      <c r="O14" s="76"/>
      <c r="P14" s="76"/>
      <c r="Q14" s="76"/>
      <c r="R14" s="76"/>
      <c r="S14" s="37">
        <f t="shared" si="0"/>
        <v>12</v>
      </c>
      <c r="U14" t="s">
        <v>153</v>
      </c>
    </row>
    <row r="15" spans="1:23" x14ac:dyDescent="0.25">
      <c r="A15" s="38" t="s">
        <v>58</v>
      </c>
      <c r="B15" s="39"/>
      <c r="C15" s="76">
        <v>1811</v>
      </c>
      <c r="D15" s="76"/>
      <c r="E15" s="76"/>
      <c r="F15" s="76"/>
      <c r="G15" s="76"/>
      <c r="H15" s="76"/>
      <c r="I15" s="76"/>
      <c r="J15" s="76"/>
      <c r="K15" s="76"/>
      <c r="L15" s="76"/>
      <c r="M15" s="76"/>
      <c r="N15" s="76"/>
      <c r="O15" s="76"/>
      <c r="P15" s="76"/>
      <c r="Q15" s="76"/>
      <c r="R15" s="76"/>
      <c r="S15" s="37">
        <v>1</v>
      </c>
      <c r="U15" t="s">
        <v>154</v>
      </c>
    </row>
    <row r="16" spans="1:23" x14ac:dyDescent="0.25">
      <c r="A16" s="31" t="s">
        <v>59</v>
      </c>
      <c r="B16" s="74"/>
      <c r="C16" s="76">
        <v>2608.2600000000002</v>
      </c>
      <c r="D16" s="76">
        <v>2608.2600000000002</v>
      </c>
      <c r="E16" s="76">
        <v>2608.2600000000002</v>
      </c>
      <c r="F16" s="76">
        <v>2608.2600000000002</v>
      </c>
      <c r="G16" s="76">
        <v>2634</v>
      </c>
      <c r="H16" s="76">
        <v>2689</v>
      </c>
      <c r="I16" s="76">
        <v>2743</v>
      </c>
      <c r="J16" s="76"/>
      <c r="K16" s="76"/>
      <c r="L16" s="76"/>
      <c r="M16" s="76"/>
      <c r="N16" s="76"/>
      <c r="O16" s="76"/>
      <c r="P16" s="76"/>
      <c r="Q16" s="76"/>
      <c r="R16" s="76"/>
      <c r="S16" s="37">
        <f t="shared" ref="S16:S32" si="1">COUNT(C16:R16)</f>
        <v>7</v>
      </c>
      <c r="U16" t="s">
        <v>74</v>
      </c>
    </row>
    <row r="17" spans="1:21" x14ac:dyDescent="0.25">
      <c r="A17" s="31" t="s">
        <v>60</v>
      </c>
      <c r="B17" s="74"/>
      <c r="C17" s="76">
        <v>2608.2600000000002</v>
      </c>
      <c r="D17" s="76">
        <v>2608.2600000000002</v>
      </c>
      <c r="E17" s="76">
        <v>2608.2600000000002</v>
      </c>
      <c r="F17" s="76">
        <v>2641</v>
      </c>
      <c r="G17" s="76">
        <v>2702</v>
      </c>
      <c r="H17" s="76">
        <v>2764</v>
      </c>
      <c r="I17" s="76">
        <v>2825</v>
      </c>
      <c r="J17" s="76">
        <v>2886</v>
      </c>
      <c r="K17" s="76"/>
      <c r="L17" s="76"/>
      <c r="M17" s="76"/>
      <c r="N17" s="76"/>
      <c r="O17" s="76"/>
      <c r="P17" s="76"/>
      <c r="Q17" s="76"/>
      <c r="R17" s="76"/>
      <c r="S17" s="37">
        <f t="shared" si="1"/>
        <v>8</v>
      </c>
      <c r="U17" t="s">
        <v>155</v>
      </c>
    </row>
    <row r="18" spans="1:21" x14ac:dyDescent="0.25">
      <c r="A18" s="31" t="s">
        <v>61</v>
      </c>
      <c r="B18" s="74"/>
      <c r="C18" s="76">
        <v>2608.2600000000002</v>
      </c>
      <c r="D18" s="76">
        <v>2608.2600000000002</v>
      </c>
      <c r="E18" s="76">
        <v>2651</v>
      </c>
      <c r="F18" s="76">
        <v>2729</v>
      </c>
      <c r="G18" s="76">
        <v>2806</v>
      </c>
      <c r="H18" s="76">
        <v>2884</v>
      </c>
      <c r="I18" s="76">
        <v>2961</v>
      </c>
      <c r="J18" s="76">
        <v>3039</v>
      </c>
      <c r="K18" s="76">
        <v>3116</v>
      </c>
      <c r="L18" s="76"/>
      <c r="M18" s="76"/>
      <c r="N18" s="76"/>
      <c r="O18" s="76"/>
      <c r="P18" s="76"/>
      <c r="Q18" s="76"/>
      <c r="R18" s="76"/>
      <c r="S18" s="37">
        <f t="shared" si="1"/>
        <v>9</v>
      </c>
      <c r="U18" t="s">
        <v>156</v>
      </c>
    </row>
    <row r="19" spans="1:21" x14ac:dyDescent="0.25">
      <c r="A19" s="31" t="s">
        <v>1</v>
      </c>
      <c r="B19" s="74"/>
      <c r="C19" s="76">
        <v>2608.2600000000002</v>
      </c>
      <c r="D19" s="76">
        <v>2608.2600000000002</v>
      </c>
      <c r="E19" s="76">
        <v>2673</v>
      </c>
      <c r="F19" s="76">
        <v>2748</v>
      </c>
      <c r="G19" s="76">
        <v>2822</v>
      </c>
      <c r="H19" s="76">
        <v>2897</v>
      </c>
      <c r="I19" s="76">
        <v>2971</v>
      </c>
      <c r="J19" s="76">
        <v>3046</v>
      </c>
      <c r="K19" s="76">
        <v>3121</v>
      </c>
      <c r="L19" s="76">
        <v>3195</v>
      </c>
      <c r="M19" s="76">
        <v>3270</v>
      </c>
      <c r="N19" s="76"/>
      <c r="O19" s="76"/>
      <c r="P19" s="76"/>
      <c r="Q19" s="76"/>
      <c r="R19" s="76"/>
      <c r="S19" s="37">
        <f t="shared" si="1"/>
        <v>11</v>
      </c>
      <c r="U19" t="s">
        <v>157</v>
      </c>
    </row>
    <row r="20" spans="1:21" x14ac:dyDescent="0.25">
      <c r="A20" s="31" t="s">
        <v>62</v>
      </c>
      <c r="B20" s="74"/>
      <c r="C20" s="76">
        <v>2608.2600000000002</v>
      </c>
      <c r="D20" s="76">
        <v>2637</v>
      </c>
      <c r="E20" s="76">
        <v>2723</v>
      </c>
      <c r="F20" s="76">
        <v>2810</v>
      </c>
      <c r="G20" s="76">
        <v>2896</v>
      </c>
      <c r="H20" s="76">
        <v>2982</v>
      </c>
      <c r="I20" s="76">
        <v>3068</v>
      </c>
      <c r="J20" s="76">
        <v>3154</v>
      </c>
      <c r="K20" s="76">
        <v>3240</v>
      </c>
      <c r="L20" s="76">
        <v>3326</v>
      </c>
      <c r="M20" s="76">
        <v>3412</v>
      </c>
      <c r="N20" s="76"/>
      <c r="O20" s="76"/>
      <c r="P20" s="76"/>
      <c r="Q20" s="76"/>
      <c r="R20" s="76"/>
      <c r="S20" s="37">
        <f t="shared" si="1"/>
        <v>11</v>
      </c>
      <c r="U20" t="s">
        <v>158</v>
      </c>
    </row>
    <row r="21" spans="1:21" x14ac:dyDescent="0.25">
      <c r="A21" s="31" t="s">
        <v>63</v>
      </c>
      <c r="B21" s="74"/>
      <c r="C21" s="76">
        <v>2672</v>
      </c>
      <c r="D21" s="76">
        <v>2766</v>
      </c>
      <c r="E21" s="76">
        <v>2859</v>
      </c>
      <c r="F21" s="76">
        <v>2953</v>
      </c>
      <c r="G21" s="76">
        <v>3047</v>
      </c>
      <c r="H21" s="76">
        <v>3141</v>
      </c>
      <c r="I21" s="76">
        <v>3235</v>
      </c>
      <c r="J21" s="76">
        <v>3329</v>
      </c>
      <c r="K21" s="76">
        <v>3422</v>
      </c>
      <c r="L21" s="76">
        <v>3516</v>
      </c>
      <c r="M21" s="76">
        <v>3610</v>
      </c>
      <c r="N21" s="76"/>
      <c r="O21" s="76"/>
      <c r="P21" s="76"/>
      <c r="Q21" s="76"/>
      <c r="R21" s="76"/>
      <c r="S21" s="37">
        <f t="shared" si="1"/>
        <v>11</v>
      </c>
      <c r="U21" t="s">
        <v>159</v>
      </c>
    </row>
    <row r="22" spans="1:21" x14ac:dyDescent="0.25">
      <c r="A22" s="31" t="s">
        <v>64</v>
      </c>
      <c r="B22" s="74"/>
      <c r="C22" s="76">
        <v>2798</v>
      </c>
      <c r="D22" s="76">
        <v>2902</v>
      </c>
      <c r="E22" s="76">
        <v>3005</v>
      </c>
      <c r="F22" s="76">
        <v>3109</v>
      </c>
      <c r="G22" s="76">
        <v>3212</v>
      </c>
      <c r="H22" s="76">
        <v>3316</v>
      </c>
      <c r="I22" s="76">
        <v>3419</v>
      </c>
      <c r="J22" s="76">
        <v>3523</v>
      </c>
      <c r="K22" s="76">
        <v>3626</v>
      </c>
      <c r="L22" s="76">
        <v>3730</v>
      </c>
      <c r="M22" s="76">
        <v>3833</v>
      </c>
      <c r="N22" s="76">
        <v>3937</v>
      </c>
      <c r="O22" s="76"/>
      <c r="P22" s="76"/>
      <c r="Q22" s="76"/>
      <c r="R22" s="76"/>
      <c r="S22" s="37">
        <f t="shared" si="1"/>
        <v>12</v>
      </c>
      <c r="U22" t="s">
        <v>160</v>
      </c>
    </row>
    <row r="23" spans="1:21" x14ac:dyDescent="0.25">
      <c r="A23" s="31" t="s">
        <v>65</v>
      </c>
      <c r="B23" s="74"/>
      <c r="C23" s="76">
        <v>3022</v>
      </c>
      <c r="D23" s="76">
        <v>3152</v>
      </c>
      <c r="E23" s="76">
        <v>3281</v>
      </c>
      <c r="F23" s="76">
        <v>3411</v>
      </c>
      <c r="G23" s="76">
        <v>3541</v>
      </c>
      <c r="H23" s="76">
        <v>3671</v>
      </c>
      <c r="I23" s="76">
        <v>3800</v>
      </c>
      <c r="J23" s="76">
        <v>3930</v>
      </c>
      <c r="K23" s="76">
        <v>4060</v>
      </c>
      <c r="L23" s="76">
        <v>4190</v>
      </c>
      <c r="M23" s="76">
        <v>4320</v>
      </c>
      <c r="N23" s="76">
        <v>4449</v>
      </c>
      <c r="O23" s="76"/>
      <c r="P23" s="76"/>
      <c r="Q23" s="76"/>
      <c r="R23" s="76"/>
      <c r="S23" s="37">
        <f t="shared" si="1"/>
        <v>12</v>
      </c>
      <c r="U23" t="s">
        <v>161</v>
      </c>
    </row>
    <row r="24" spans="1:21" x14ac:dyDescent="0.25">
      <c r="A24" s="31" t="s">
        <v>66</v>
      </c>
      <c r="B24" s="74"/>
      <c r="C24" s="76">
        <v>3326</v>
      </c>
      <c r="D24" s="76">
        <v>3496</v>
      </c>
      <c r="E24" s="76">
        <v>3835</v>
      </c>
      <c r="F24" s="76">
        <v>4030</v>
      </c>
      <c r="G24" s="76">
        <v>4201</v>
      </c>
      <c r="H24" s="76">
        <v>4371</v>
      </c>
      <c r="I24" s="76">
        <v>4534</v>
      </c>
      <c r="J24" s="76">
        <v>4695</v>
      </c>
      <c r="K24" s="76">
        <v>4870</v>
      </c>
      <c r="L24" s="76">
        <v>5025</v>
      </c>
      <c r="M24" s="76"/>
      <c r="N24" s="76"/>
      <c r="O24" s="76"/>
      <c r="P24" s="76"/>
      <c r="Q24" s="76"/>
      <c r="R24" s="76"/>
      <c r="S24" s="37">
        <f t="shared" si="1"/>
        <v>10</v>
      </c>
      <c r="U24" t="s">
        <v>162</v>
      </c>
    </row>
    <row r="25" spans="1:21" x14ac:dyDescent="0.25">
      <c r="A25" s="31" t="s">
        <v>67</v>
      </c>
      <c r="B25" s="74"/>
      <c r="C25" s="76">
        <v>3622</v>
      </c>
      <c r="D25" s="76">
        <v>3710</v>
      </c>
      <c r="E25" s="76">
        <v>3821</v>
      </c>
      <c r="F25" s="76">
        <v>3933</v>
      </c>
      <c r="G25" s="76">
        <v>4046</v>
      </c>
      <c r="H25" s="76">
        <v>4185</v>
      </c>
      <c r="I25" s="76">
        <v>4348</v>
      </c>
      <c r="J25" s="76">
        <v>4533</v>
      </c>
      <c r="K25" s="76">
        <v>4742</v>
      </c>
      <c r="L25" s="76">
        <v>4975</v>
      </c>
      <c r="M25" s="76">
        <v>5234</v>
      </c>
      <c r="N25" s="76">
        <v>5520</v>
      </c>
      <c r="O25" s="76"/>
      <c r="P25" s="76"/>
      <c r="Q25" s="76"/>
      <c r="R25" s="76"/>
      <c r="S25" s="37">
        <f t="shared" si="1"/>
        <v>12</v>
      </c>
      <c r="U25" t="s">
        <v>163</v>
      </c>
    </row>
    <row r="26" spans="1:21" x14ac:dyDescent="0.25">
      <c r="A26" s="31" t="s">
        <v>68</v>
      </c>
      <c r="B26" s="74"/>
      <c r="C26" s="76">
        <v>3644</v>
      </c>
      <c r="D26" s="76">
        <v>3817</v>
      </c>
      <c r="E26" s="76">
        <v>4015</v>
      </c>
      <c r="F26" s="76">
        <v>4213</v>
      </c>
      <c r="G26" s="76">
        <v>4409</v>
      </c>
      <c r="H26" s="76">
        <v>4629</v>
      </c>
      <c r="I26" s="76">
        <v>4873</v>
      </c>
      <c r="J26" s="76">
        <v>5138</v>
      </c>
      <c r="K26" s="76">
        <v>5427</v>
      </c>
      <c r="L26" s="76">
        <v>5740</v>
      </c>
      <c r="M26" s="76">
        <v>6074</v>
      </c>
      <c r="N26" s="76">
        <v>6432</v>
      </c>
      <c r="O26" s="76"/>
      <c r="P26" s="76"/>
      <c r="Q26" s="76"/>
      <c r="R26" s="76"/>
      <c r="S26" s="37">
        <f t="shared" si="1"/>
        <v>12</v>
      </c>
      <c r="U26" t="s">
        <v>164</v>
      </c>
    </row>
    <row r="27" spans="1:21" x14ac:dyDescent="0.25">
      <c r="A27" s="31" t="s">
        <v>69</v>
      </c>
      <c r="B27" s="74"/>
      <c r="C27" s="76">
        <v>3659</v>
      </c>
      <c r="D27" s="76">
        <v>3874</v>
      </c>
      <c r="E27" s="76">
        <v>4125</v>
      </c>
      <c r="F27" s="76">
        <v>4376</v>
      </c>
      <c r="G27" s="76">
        <v>4627</v>
      </c>
      <c r="H27" s="76">
        <v>4910</v>
      </c>
      <c r="I27" s="76">
        <v>5225</v>
      </c>
      <c r="J27" s="76">
        <v>5577</v>
      </c>
      <c r="K27" s="76">
        <v>5960</v>
      </c>
      <c r="L27" s="76">
        <v>6378</v>
      </c>
      <c r="M27" s="76">
        <v>6828</v>
      </c>
      <c r="N27" s="76">
        <v>7313</v>
      </c>
      <c r="O27" s="76"/>
      <c r="P27" s="76"/>
      <c r="Q27" s="76"/>
      <c r="R27" s="76"/>
      <c r="S27" s="37">
        <f t="shared" si="1"/>
        <v>12</v>
      </c>
      <c r="U27" t="s">
        <v>165</v>
      </c>
    </row>
    <row r="28" spans="1:21" x14ac:dyDescent="0.25">
      <c r="A28" s="31" t="s">
        <v>70</v>
      </c>
      <c r="B28" s="74"/>
      <c r="C28" s="76">
        <v>5691</v>
      </c>
      <c r="D28" s="76">
        <v>5889</v>
      </c>
      <c r="E28" s="76">
        <v>6088</v>
      </c>
      <c r="F28" s="76">
        <v>6285</v>
      </c>
      <c r="G28" s="76">
        <v>6483</v>
      </c>
      <c r="H28" s="76">
        <v>6682</v>
      </c>
      <c r="I28" s="76">
        <v>6879</v>
      </c>
      <c r="J28" s="76">
        <v>7076</v>
      </c>
      <c r="K28" s="76">
        <v>7274</v>
      </c>
      <c r="L28" s="76">
        <v>7471</v>
      </c>
      <c r="M28" s="76">
        <v>7670</v>
      </c>
      <c r="N28" s="76">
        <v>7867</v>
      </c>
      <c r="O28" s="76">
        <v>8065</v>
      </c>
      <c r="P28" s="76"/>
      <c r="Q28" s="76"/>
      <c r="R28" s="76"/>
      <c r="S28" s="37">
        <f t="shared" si="1"/>
        <v>13</v>
      </c>
      <c r="U28" t="s">
        <v>166</v>
      </c>
    </row>
    <row r="29" spans="1:21" x14ac:dyDescent="0.25">
      <c r="A29" s="31" t="s">
        <v>71</v>
      </c>
      <c r="B29" s="74"/>
      <c r="C29" s="76">
        <v>6517</v>
      </c>
      <c r="D29" s="76">
        <v>6681</v>
      </c>
      <c r="E29" s="76">
        <v>7004</v>
      </c>
      <c r="F29" s="76">
        <v>7209</v>
      </c>
      <c r="G29" s="76">
        <v>7416</v>
      </c>
      <c r="H29" s="76">
        <v>7621</v>
      </c>
      <c r="I29" s="76">
        <v>7828</v>
      </c>
      <c r="J29" s="76">
        <v>8036</v>
      </c>
      <c r="K29" s="76">
        <v>8253</v>
      </c>
      <c r="L29" s="76">
        <v>8478</v>
      </c>
      <c r="M29" s="76">
        <v>8708</v>
      </c>
      <c r="N29" s="76"/>
      <c r="O29" s="76"/>
      <c r="P29" s="76"/>
      <c r="Q29" s="76"/>
      <c r="R29" s="76"/>
      <c r="S29" s="37">
        <f t="shared" si="1"/>
        <v>11</v>
      </c>
      <c r="U29" t="s">
        <v>167</v>
      </c>
    </row>
    <row r="30" spans="1:21" x14ac:dyDescent="0.25">
      <c r="A30" s="31" t="s">
        <v>72</v>
      </c>
      <c r="B30" s="74"/>
      <c r="C30" s="76">
        <v>6841</v>
      </c>
      <c r="D30" s="76">
        <v>7004</v>
      </c>
      <c r="E30" s="76">
        <v>7209</v>
      </c>
      <c r="F30" s="76">
        <v>7621</v>
      </c>
      <c r="G30" s="76">
        <v>7828</v>
      </c>
      <c r="H30" s="76">
        <v>8036</v>
      </c>
      <c r="I30" s="76">
        <v>8253</v>
      </c>
      <c r="J30" s="76">
        <v>8478</v>
      </c>
      <c r="K30" s="76">
        <v>8708</v>
      </c>
      <c r="L30" s="76">
        <v>8984</v>
      </c>
      <c r="M30" s="76">
        <v>9270</v>
      </c>
      <c r="N30" s="76">
        <v>9562</v>
      </c>
      <c r="O30" s="76"/>
      <c r="P30" s="76"/>
      <c r="Q30" s="76"/>
      <c r="R30" s="76"/>
      <c r="S30" s="37">
        <f t="shared" si="1"/>
        <v>12</v>
      </c>
      <c r="U30" t="s">
        <v>168</v>
      </c>
    </row>
    <row r="31" spans="1:21" x14ac:dyDescent="0.25">
      <c r="A31" s="31" t="s">
        <v>73</v>
      </c>
      <c r="B31" s="75"/>
      <c r="C31" s="76">
        <v>7416</v>
      </c>
      <c r="D31" s="76">
        <v>7621</v>
      </c>
      <c r="E31" s="76">
        <v>7828</v>
      </c>
      <c r="F31" s="76">
        <v>8253</v>
      </c>
      <c r="G31" s="76">
        <v>8478</v>
      </c>
      <c r="H31" s="76">
        <v>8708</v>
      </c>
      <c r="I31" s="76">
        <v>8984</v>
      </c>
      <c r="J31" s="76">
        <v>9270</v>
      </c>
      <c r="K31" s="76">
        <v>9562</v>
      </c>
      <c r="L31" s="76">
        <v>9868</v>
      </c>
      <c r="M31" s="76">
        <v>10179</v>
      </c>
      <c r="N31" s="76">
        <v>10503</v>
      </c>
      <c r="O31" s="76"/>
      <c r="P31" s="76"/>
      <c r="Q31" s="76"/>
      <c r="R31" s="76"/>
      <c r="S31" s="37">
        <f t="shared" si="1"/>
        <v>12</v>
      </c>
      <c r="U31" t="s">
        <v>169</v>
      </c>
    </row>
    <row r="32" spans="1:21" x14ac:dyDescent="0.25">
      <c r="A32" s="31" t="s">
        <v>74</v>
      </c>
      <c r="B32" s="75"/>
      <c r="C32" s="76">
        <v>8036</v>
      </c>
      <c r="D32" s="76">
        <v>8253</v>
      </c>
      <c r="E32" s="76">
        <v>8478</v>
      </c>
      <c r="F32" s="76">
        <v>8984</v>
      </c>
      <c r="G32" s="76">
        <v>9270</v>
      </c>
      <c r="H32" s="76">
        <v>9562</v>
      </c>
      <c r="I32" s="76">
        <v>9868</v>
      </c>
      <c r="J32" s="76">
        <v>10179</v>
      </c>
      <c r="K32" s="76">
        <v>10503</v>
      </c>
      <c r="L32" s="76">
        <v>10839</v>
      </c>
      <c r="M32" s="76">
        <v>11182</v>
      </c>
      <c r="N32" s="76">
        <v>11537</v>
      </c>
      <c r="O32" s="76"/>
      <c r="P32" s="76"/>
      <c r="Q32" s="76"/>
      <c r="R32" s="76"/>
      <c r="S32" s="37">
        <f t="shared" si="1"/>
        <v>12</v>
      </c>
    </row>
  </sheetData>
  <sheetProtection algorithmName="SHA-512" hashValue="n35P7M63CHnvQ0k9QnoUKncHATbhZbKtyL0iYJ3Qib96p13PU18g2mv02wRiegTVdDOgYc6G43F7Bfs0txuCRw==" saltValue="qgUOvyRDSKzD0iZrma8NEA==" spinCount="100000" sheet="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D62"/>
  <sheetViews>
    <sheetView showGridLines="0" showRowColHeaders="0" topLeftCell="A33" workbookViewId="0">
      <selection activeCell="D62" sqref="D62"/>
    </sheetView>
  </sheetViews>
  <sheetFormatPr defaultRowHeight="15" x14ac:dyDescent="0.25"/>
  <cols>
    <col min="2" max="2" width="11.7109375" customWidth="1"/>
    <col min="4" max="4" width="84.85546875" customWidth="1"/>
  </cols>
  <sheetData>
    <row r="1" spans="1:4" x14ac:dyDescent="0.25">
      <c r="A1" s="4" t="s">
        <v>170</v>
      </c>
      <c r="B1" s="4" t="s">
        <v>171</v>
      </c>
      <c r="C1" s="4" t="s">
        <v>172</v>
      </c>
      <c r="D1" s="4" t="s">
        <v>173</v>
      </c>
    </row>
    <row r="2" spans="1:4" x14ac:dyDescent="0.25">
      <c r="A2" s="1" t="s">
        <v>174</v>
      </c>
      <c r="B2" s="50">
        <v>42481</v>
      </c>
      <c r="C2" s="1" t="s">
        <v>175</v>
      </c>
      <c r="D2" s="1" t="s">
        <v>176</v>
      </c>
    </row>
    <row r="3" spans="1:4" x14ac:dyDescent="0.25">
      <c r="A3" s="1" t="s">
        <v>177</v>
      </c>
      <c r="B3" s="50">
        <v>42395</v>
      </c>
      <c r="C3" s="1" t="s">
        <v>175</v>
      </c>
      <c r="D3" s="1" t="s">
        <v>178</v>
      </c>
    </row>
    <row r="4" spans="1:4" x14ac:dyDescent="0.25">
      <c r="A4" s="1" t="s">
        <v>179</v>
      </c>
      <c r="B4" s="51">
        <v>42332</v>
      </c>
      <c r="C4" s="1" t="s">
        <v>175</v>
      </c>
      <c r="D4" s="1" t="s">
        <v>180</v>
      </c>
    </row>
    <row r="5" spans="1:4" ht="26.25" x14ac:dyDescent="0.25">
      <c r="A5" s="52" t="s">
        <v>181</v>
      </c>
      <c r="B5" s="53">
        <v>42047</v>
      </c>
      <c r="C5" s="52" t="s">
        <v>175</v>
      </c>
      <c r="D5" s="54" t="s">
        <v>182</v>
      </c>
    </row>
    <row r="6" spans="1:4" x14ac:dyDescent="0.25">
      <c r="A6" s="1" t="s">
        <v>183</v>
      </c>
      <c r="B6" s="55">
        <v>42543</v>
      </c>
      <c r="C6" s="1" t="s">
        <v>184</v>
      </c>
      <c r="D6" s="1" t="s">
        <v>185</v>
      </c>
    </row>
    <row r="7" spans="1:4" x14ac:dyDescent="0.25">
      <c r="A7" s="1" t="s">
        <v>186</v>
      </c>
      <c r="B7" s="55">
        <v>42696</v>
      </c>
      <c r="C7" s="1" t="s">
        <v>175</v>
      </c>
      <c r="D7" s="1" t="s">
        <v>187</v>
      </c>
    </row>
    <row r="8" spans="1:4" x14ac:dyDescent="0.25">
      <c r="A8" s="1" t="s">
        <v>188</v>
      </c>
      <c r="B8" s="55">
        <v>42760</v>
      </c>
      <c r="C8" s="1" t="s">
        <v>175</v>
      </c>
      <c r="D8" s="1" t="s">
        <v>189</v>
      </c>
    </row>
    <row r="9" spans="1:4" x14ac:dyDescent="0.25">
      <c r="A9" s="1" t="s">
        <v>190</v>
      </c>
      <c r="B9" s="55">
        <v>42991</v>
      </c>
      <c r="C9" s="1" t="s">
        <v>175</v>
      </c>
      <c r="D9" s="1" t="s">
        <v>191</v>
      </c>
    </row>
    <row r="10" spans="1:4" x14ac:dyDescent="0.25">
      <c r="A10" s="1" t="s">
        <v>192</v>
      </c>
      <c r="B10" s="55">
        <v>43125</v>
      </c>
      <c r="C10" s="1" t="s">
        <v>175</v>
      </c>
      <c r="D10" s="1" t="s">
        <v>193</v>
      </c>
    </row>
    <row r="11" spans="1:4" x14ac:dyDescent="0.25">
      <c r="A11" s="1" t="s">
        <v>194</v>
      </c>
      <c r="B11" s="55">
        <v>43223</v>
      </c>
      <c r="C11" s="1" t="s">
        <v>175</v>
      </c>
      <c r="D11" s="1" t="s">
        <v>195</v>
      </c>
    </row>
    <row r="12" spans="1:4" x14ac:dyDescent="0.25">
      <c r="A12" s="1" t="s">
        <v>196</v>
      </c>
      <c r="B12" s="55">
        <v>43264</v>
      </c>
      <c r="C12" s="1" t="s">
        <v>175</v>
      </c>
      <c r="D12" s="1" t="s">
        <v>197</v>
      </c>
    </row>
    <row r="13" spans="1:4" x14ac:dyDescent="0.25">
      <c r="A13" s="1" t="s">
        <v>198</v>
      </c>
      <c r="B13" s="55">
        <v>43279</v>
      </c>
      <c r="C13" s="1" t="s">
        <v>184</v>
      </c>
      <c r="D13" s="1" t="s">
        <v>199</v>
      </c>
    </row>
    <row r="14" spans="1:4" x14ac:dyDescent="0.25">
      <c r="A14" s="1" t="s">
        <v>198</v>
      </c>
      <c r="B14" s="55">
        <v>43279</v>
      </c>
      <c r="C14" s="1" t="s">
        <v>184</v>
      </c>
      <c r="D14" s="1" t="s">
        <v>200</v>
      </c>
    </row>
    <row r="15" spans="1:4" x14ac:dyDescent="0.25">
      <c r="A15" s="1" t="s">
        <v>198</v>
      </c>
      <c r="B15" s="55">
        <v>43279</v>
      </c>
      <c r="C15" s="1" t="s">
        <v>184</v>
      </c>
      <c r="D15" s="1" t="s">
        <v>201</v>
      </c>
    </row>
    <row r="16" spans="1:4" x14ac:dyDescent="0.25">
      <c r="A16" s="1" t="s">
        <v>198</v>
      </c>
      <c r="B16" s="55">
        <v>43279</v>
      </c>
      <c r="C16" s="1" t="s">
        <v>184</v>
      </c>
      <c r="D16" s="1" t="s">
        <v>202</v>
      </c>
    </row>
    <row r="17" spans="1:4" x14ac:dyDescent="0.25">
      <c r="A17" s="1" t="s">
        <v>203</v>
      </c>
      <c r="B17" s="55">
        <v>43336</v>
      </c>
      <c r="C17" s="1" t="s">
        <v>175</v>
      </c>
      <c r="D17" s="1" t="s">
        <v>204</v>
      </c>
    </row>
    <row r="18" spans="1:4" x14ac:dyDescent="0.25">
      <c r="A18" s="1" t="s">
        <v>205</v>
      </c>
      <c r="B18" s="55">
        <v>43423</v>
      </c>
      <c r="C18" s="1" t="s">
        <v>175</v>
      </c>
      <c r="D18" s="1" t="s">
        <v>206</v>
      </c>
    </row>
    <row r="19" spans="1:4" x14ac:dyDescent="0.25">
      <c r="A19" s="1" t="s">
        <v>207</v>
      </c>
      <c r="B19" s="55">
        <v>43439</v>
      </c>
      <c r="C19" s="1" t="s">
        <v>175</v>
      </c>
      <c r="D19" s="1" t="s">
        <v>208</v>
      </c>
    </row>
    <row r="20" spans="1:4" x14ac:dyDescent="0.25">
      <c r="A20" s="1" t="s">
        <v>209</v>
      </c>
      <c r="B20" s="55">
        <v>43468</v>
      </c>
      <c r="C20" s="1" t="s">
        <v>175</v>
      </c>
      <c r="D20" s="1" t="s">
        <v>210</v>
      </c>
    </row>
    <row r="21" spans="1:4" x14ac:dyDescent="0.25">
      <c r="A21" s="1" t="s">
        <v>211</v>
      </c>
      <c r="B21" s="55">
        <v>43661</v>
      </c>
      <c r="C21" s="1" t="s">
        <v>175</v>
      </c>
      <c r="D21" s="1" t="s">
        <v>212</v>
      </c>
    </row>
    <row r="22" spans="1:4" x14ac:dyDescent="0.25">
      <c r="A22" s="1" t="s">
        <v>213</v>
      </c>
      <c r="B22" s="55">
        <v>43837</v>
      </c>
      <c r="C22" s="1" t="s">
        <v>175</v>
      </c>
      <c r="D22" s="1" t="s">
        <v>214</v>
      </c>
    </row>
    <row r="23" spans="1:4" x14ac:dyDescent="0.25">
      <c r="A23" s="1" t="s">
        <v>215</v>
      </c>
      <c r="B23" s="55">
        <v>43838</v>
      </c>
      <c r="C23" s="1" t="s">
        <v>175</v>
      </c>
      <c r="D23" s="1" t="s">
        <v>216</v>
      </c>
    </row>
    <row r="24" spans="1:4" x14ac:dyDescent="0.25">
      <c r="A24" s="1" t="s">
        <v>217</v>
      </c>
      <c r="B24" s="55">
        <v>43840</v>
      </c>
      <c r="C24" s="1" t="s">
        <v>175</v>
      </c>
      <c r="D24" s="1" t="s">
        <v>218</v>
      </c>
    </row>
    <row r="25" spans="1:4" x14ac:dyDescent="0.25">
      <c r="A25" s="1" t="s">
        <v>219</v>
      </c>
      <c r="B25" s="55">
        <v>43907</v>
      </c>
      <c r="C25" s="1" t="s">
        <v>175</v>
      </c>
      <c r="D25" s="1" t="s">
        <v>220</v>
      </c>
    </row>
    <row r="26" spans="1:4" x14ac:dyDescent="0.25">
      <c r="A26" s="1" t="s">
        <v>221</v>
      </c>
      <c r="B26" s="55">
        <v>44036</v>
      </c>
      <c r="C26" s="1" t="s">
        <v>175</v>
      </c>
      <c r="D26" s="1" t="s">
        <v>222</v>
      </c>
    </row>
    <row r="27" spans="1:4" x14ac:dyDescent="0.25">
      <c r="A27" s="1" t="s">
        <v>223</v>
      </c>
      <c r="B27" s="55">
        <v>44131</v>
      </c>
      <c r="C27" s="1" t="s">
        <v>175</v>
      </c>
      <c r="D27" s="1" t="s">
        <v>224</v>
      </c>
    </row>
    <row r="28" spans="1:4" x14ac:dyDescent="0.25">
      <c r="A28" s="1" t="s">
        <v>225</v>
      </c>
      <c r="B28" s="55">
        <v>44187</v>
      </c>
      <c r="C28" s="1" t="s">
        <v>175</v>
      </c>
      <c r="D28" s="1" t="s">
        <v>226</v>
      </c>
    </row>
    <row r="29" spans="1:4" x14ac:dyDescent="0.25">
      <c r="A29" s="1" t="s">
        <v>227</v>
      </c>
      <c r="B29" s="55">
        <v>44357</v>
      </c>
      <c r="C29" s="1" t="s">
        <v>228</v>
      </c>
      <c r="D29" s="1" t="s">
        <v>229</v>
      </c>
    </row>
    <row r="30" spans="1:4" x14ac:dyDescent="0.25">
      <c r="A30" s="1" t="s">
        <v>230</v>
      </c>
      <c r="B30" s="55">
        <v>44384</v>
      </c>
      <c r="C30" s="1" t="s">
        <v>228</v>
      </c>
      <c r="D30" s="1" t="s">
        <v>231</v>
      </c>
    </row>
    <row r="31" spans="1:4" x14ac:dyDescent="0.25">
      <c r="A31" s="1" t="s">
        <v>232</v>
      </c>
      <c r="B31" s="55">
        <v>44396</v>
      </c>
      <c r="C31" s="1" t="s">
        <v>228</v>
      </c>
      <c r="D31" s="1" t="s">
        <v>233</v>
      </c>
    </row>
    <row r="32" spans="1:4" x14ac:dyDescent="0.25">
      <c r="A32" s="1" t="s">
        <v>234</v>
      </c>
      <c r="B32" s="55">
        <v>44567</v>
      </c>
      <c r="C32" s="1" t="s">
        <v>228</v>
      </c>
      <c r="D32" s="1" t="s">
        <v>235</v>
      </c>
    </row>
    <row r="33" spans="1:4" x14ac:dyDescent="0.25">
      <c r="A33" t="s">
        <v>236</v>
      </c>
      <c r="B33" s="55">
        <v>44622</v>
      </c>
      <c r="C33" s="1" t="s">
        <v>228</v>
      </c>
      <c r="D33" s="1" t="s">
        <v>237</v>
      </c>
    </row>
    <row r="34" spans="1:4" x14ac:dyDescent="0.25">
      <c r="A34" s="1" t="s">
        <v>238</v>
      </c>
      <c r="B34" s="55">
        <v>44711</v>
      </c>
      <c r="C34" s="1" t="s">
        <v>228</v>
      </c>
      <c r="D34" s="1" t="s">
        <v>239</v>
      </c>
    </row>
    <row r="35" spans="1:4" x14ac:dyDescent="0.25">
      <c r="A35" s="1" t="s">
        <v>240</v>
      </c>
      <c r="B35" s="55">
        <v>44721</v>
      </c>
      <c r="C35" s="1" t="s">
        <v>228</v>
      </c>
      <c r="D35" s="1" t="s">
        <v>241</v>
      </c>
    </row>
    <row r="36" spans="1:4" x14ac:dyDescent="0.25">
      <c r="A36" s="1" t="s">
        <v>242</v>
      </c>
      <c r="B36" s="55">
        <v>44748</v>
      </c>
      <c r="C36" s="1" t="s">
        <v>228</v>
      </c>
      <c r="D36" s="1" t="s">
        <v>243</v>
      </c>
    </row>
    <row r="37" spans="1:4" x14ac:dyDescent="0.25">
      <c r="A37" s="1" t="s">
        <v>242</v>
      </c>
      <c r="B37" s="55">
        <v>44748</v>
      </c>
      <c r="C37" s="1" t="s">
        <v>228</v>
      </c>
      <c r="D37" s="1" t="s">
        <v>244</v>
      </c>
    </row>
    <row r="38" spans="1:4" x14ac:dyDescent="0.25">
      <c r="A38" s="1" t="s">
        <v>245</v>
      </c>
      <c r="B38" s="55">
        <v>44782</v>
      </c>
      <c r="C38" s="1" t="s">
        <v>228</v>
      </c>
      <c r="D38" s="1" t="s">
        <v>246</v>
      </c>
    </row>
    <row r="39" spans="1:4" x14ac:dyDescent="0.25">
      <c r="A39" s="1" t="s">
        <v>247</v>
      </c>
      <c r="B39" s="55">
        <v>44845</v>
      </c>
      <c r="C39" s="1" t="s">
        <v>228</v>
      </c>
      <c r="D39" s="1" t="s">
        <v>248</v>
      </c>
    </row>
    <row r="40" spans="1:4" x14ac:dyDescent="0.25">
      <c r="A40" s="1" t="s">
        <v>249</v>
      </c>
      <c r="B40" s="55">
        <v>44879</v>
      </c>
      <c r="C40" s="1" t="s">
        <v>228</v>
      </c>
      <c r="D40" s="1" t="s">
        <v>250</v>
      </c>
    </row>
    <row r="41" spans="1:4" x14ac:dyDescent="0.25">
      <c r="A41" s="1" t="s">
        <v>251</v>
      </c>
      <c r="B41" s="55">
        <v>44909</v>
      </c>
      <c r="C41" s="1" t="s">
        <v>228</v>
      </c>
      <c r="D41" s="1" t="s">
        <v>252</v>
      </c>
    </row>
    <row r="42" spans="1:4" x14ac:dyDescent="0.25">
      <c r="A42" t="s">
        <v>253</v>
      </c>
      <c r="B42" s="55">
        <v>45106</v>
      </c>
      <c r="C42" s="1" t="s">
        <v>254</v>
      </c>
      <c r="D42" s="1" t="s">
        <v>255</v>
      </c>
    </row>
    <row r="43" spans="1:4" x14ac:dyDescent="0.25">
      <c r="A43" s="1" t="s">
        <v>256</v>
      </c>
      <c r="B43" s="55">
        <v>45166</v>
      </c>
      <c r="C43" s="1" t="s">
        <v>228</v>
      </c>
      <c r="D43" s="1" t="s">
        <v>257</v>
      </c>
    </row>
    <row r="44" spans="1:4" x14ac:dyDescent="0.25">
      <c r="A44" s="1" t="s">
        <v>258</v>
      </c>
      <c r="B44" s="55">
        <v>45210</v>
      </c>
      <c r="C44" s="1" t="s">
        <v>228</v>
      </c>
      <c r="D44" s="1" t="s">
        <v>259</v>
      </c>
    </row>
    <row r="45" spans="1:4" x14ac:dyDescent="0.25">
      <c r="A45" s="1" t="s">
        <v>260</v>
      </c>
      <c r="B45" s="55">
        <v>45215</v>
      </c>
      <c r="C45" s="1" t="s">
        <v>228</v>
      </c>
      <c r="D45" s="1" t="s">
        <v>261</v>
      </c>
    </row>
    <row r="46" spans="1:4" x14ac:dyDescent="0.25">
      <c r="A46" s="1" t="s">
        <v>262</v>
      </c>
      <c r="B46" s="55">
        <v>45273</v>
      </c>
      <c r="C46" s="1" t="s">
        <v>263</v>
      </c>
      <c r="D46" s="1" t="s">
        <v>264</v>
      </c>
    </row>
    <row r="47" spans="1:4" x14ac:dyDescent="0.25">
      <c r="A47" s="78">
        <v>3.14</v>
      </c>
      <c r="B47" s="55">
        <v>45291</v>
      </c>
      <c r="C47" s="1" t="s">
        <v>228</v>
      </c>
      <c r="D47" s="1" t="s">
        <v>265</v>
      </c>
    </row>
    <row r="48" spans="1:4" x14ac:dyDescent="0.25">
      <c r="A48" s="1" t="s">
        <v>266</v>
      </c>
      <c r="B48" s="55">
        <v>45467</v>
      </c>
      <c r="C48" s="1" t="s">
        <v>228</v>
      </c>
      <c r="D48" s="1" t="s">
        <v>267</v>
      </c>
    </row>
    <row r="49" spans="1:4" x14ac:dyDescent="0.25">
      <c r="A49" s="1" t="s">
        <v>268</v>
      </c>
      <c r="B49" s="55">
        <v>45575</v>
      </c>
      <c r="C49" s="1" t="s">
        <v>184</v>
      </c>
      <c r="D49" s="1" t="s">
        <v>269</v>
      </c>
    </row>
    <row r="50" spans="1:4" x14ac:dyDescent="0.25">
      <c r="A50" s="1" t="s">
        <v>268</v>
      </c>
      <c r="B50" s="55">
        <v>45580</v>
      </c>
      <c r="C50" s="1" t="s">
        <v>228</v>
      </c>
      <c r="D50" s="1" t="s">
        <v>270</v>
      </c>
    </row>
    <row r="51" spans="1:4" x14ac:dyDescent="0.25">
      <c r="A51" s="1" t="s">
        <v>271</v>
      </c>
      <c r="B51" s="55">
        <v>45587</v>
      </c>
      <c r="C51" s="1" t="s">
        <v>228</v>
      </c>
      <c r="D51" s="1" t="s">
        <v>272</v>
      </c>
    </row>
    <row r="52" spans="1:4" x14ac:dyDescent="0.25">
      <c r="A52" s="1" t="s">
        <v>273</v>
      </c>
      <c r="B52" s="55">
        <v>45608</v>
      </c>
      <c r="C52" s="1" t="s">
        <v>228</v>
      </c>
      <c r="D52" s="1" t="s">
        <v>274</v>
      </c>
    </row>
    <row r="53" spans="1:4" x14ac:dyDescent="0.25">
      <c r="A53" s="106">
        <v>202501</v>
      </c>
      <c r="B53" s="55">
        <v>45638</v>
      </c>
      <c r="C53" s="1" t="s">
        <v>228</v>
      </c>
      <c r="D53" s="1" t="s">
        <v>275</v>
      </c>
    </row>
    <row r="54" spans="1:4" x14ac:dyDescent="0.25">
      <c r="A54" s="1" t="s">
        <v>276</v>
      </c>
      <c r="B54" s="55">
        <v>45679</v>
      </c>
      <c r="C54" s="1" t="s">
        <v>228</v>
      </c>
      <c r="D54" s="1" t="s">
        <v>277</v>
      </c>
    </row>
    <row r="55" spans="1:4" x14ac:dyDescent="0.25">
      <c r="A55" s="1" t="s">
        <v>278</v>
      </c>
      <c r="B55" s="55">
        <v>45684</v>
      </c>
      <c r="C55" s="1" t="s">
        <v>228</v>
      </c>
      <c r="D55" s="1" t="s">
        <v>279</v>
      </c>
    </row>
    <row r="56" spans="1:4" x14ac:dyDescent="0.25">
      <c r="A56" s="106">
        <v>202504</v>
      </c>
      <c r="B56" s="55">
        <v>45770</v>
      </c>
      <c r="C56" s="1" t="s">
        <v>228</v>
      </c>
      <c r="D56" s="1" t="s">
        <v>287</v>
      </c>
    </row>
    <row r="57" spans="1:4" x14ac:dyDescent="0.25">
      <c r="A57" s="106">
        <v>202507</v>
      </c>
      <c r="B57" s="55">
        <v>45839</v>
      </c>
      <c r="C57" s="1" t="s">
        <v>228</v>
      </c>
      <c r="D57" s="1" t="s">
        <v>292</v>
      </c>
    </row>
    <row r="58" spans="1:4" x14ac:dyDescent="0.25">
      <c r="A58" s="106" t="s">
        <v>290</v>
      </c>
      <c r="B58" s="55">
        <v>45894</v>
      </c>
      <c r="C58" s="1" t="s">
        <v>228</v>
      </c>
      <c r="D58" s="1" t="s">
        <v>291</v>
      </c>
    </row>
    <row r="59" spans="1:4" x14ac:dyDescent="0.25">
      <c r="A59" s="106">
        <v>202511</v>
      </c>
      <c r="B59" s="55">
        <v>45987</v>
      </c>
      <c r="C59" s="1" t="s">
        <v>228</v>
      </c>
      <c r="D59" s="1" t="s">
        <v>295</v>
      </c>
    </row>
    <row r="60" spans="1:4" x14ac:dyDescent="0.25">
      <c r="A60" s="106">
        <v>202512</v>
      </c>
      <c r="B60" s="55">
        <v>46001</v>
      </c>
      <c r="C60" s="1" t="s">
        <v>228</v>
      </c>
      <c r="D60" s="1" t="s">
        <v>296</v>
      </c>
    </row>
    <row r="61" spans="1:4" x14ac:dyDescent="0.25">
      <c r="A61" s="106">
        <v>202601</v>
      </c>
      <c r="B61" s="55">
        <v>46007</v>
      </c>
      <c r="C61" s="1" t="s">
        <v>228</v>
      </c>
      <c r="D61" s="1" t="s">
        <v>297</v>
      </c>
    </row>
    <row r="62" spans="1:4" x14ac:dyDescent="0.25">
      <c r="A62" s="106">
        <v>202607</v>
      </c>
      <c r="B62" s="55">
        <v>46191</v>
      </c>
      <c r="C62" s="1" t="s">
        <v>228</v>
      </c>
      <c r="D62" s="1" t="s">
        <v>302</v>
      </c>
    </row>
  </sheetData>
  <sheetProtection algorithmName="SHA-512" hashValue="A253UX5oBx80E/OuizzLI3n3g2a0Q1fQkb9KUKGLVJvhGckS+qTOkW6x0aCeKc+nuFwQCXlpBglar075hMkGow==" saltValue="gHgHs8r5s0yz5QU6ghjg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0cca3c92f8a2907372dddacb1c1e60b1">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0563c6d8a2c76074e98dd565039abfe"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84C811-D437-4E5A-9E64-A2216260D13A}">
  <ds:schemaRefs>
    <ds:schemaRef ds:uri="http://purl.org/dc/terms/"/>
    <ds:schemaRef ds:uri="http://purl.org/dc/dcmitype/"/>
    <ds:schemaRef ds:uri="http://schemas.microsoft.com/office/2006/documentManagement/types"/>
    <ds:schemaRef ds:uri="http://purl.org/dc/elements/1.1/"/>
    <ds:schemaRef ds:uri="b7d7a484-9eba-4d50-9929-c9c44a97b48c"/>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3253d3d5-7728-4470-a8ad-dee6923a3a70"/>
  </ds:schemaRefs>
</ds:datastoreItem>
</file>

<file path=customXml/itemProps2.xml><?xml version="1.0" encoding="utf-8"?>
<ds:datastoreItem xmlns:ds="http://schemas.openxmlformats.org/officeDocument/2006/customXml" ds:itemID="{41652E18-665F-448D-8C5D-CBF9116426B6}">
  <ds:schemaRefs>
    <ds:schemaRef ds:uri="http://schemas.microsoft.com/sharepoint/v3/contenttype/forms"/>
  </ds:schemaRefs>
</ds:datastoreItem>
</file>

<file path=customXml/itemProps3.xml><?xml version="1.0" encoding="utf-8"?>
<ds:datastoreItem xmlns:ds="http://schemas.openxmlformats.org/officeDocument/2006/customXml" ds:itemID="{CD816890-B60A-4442-8E40-52EE5E8F7E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31</vt:i4>
      </vt:variant>
    </vt:vector>
  </HeadingPairs>
  <TitlesOfParts>
    <vt:vector size="36" baseType="lpstr">
      <vt:lpstr>Loonkosten PO</vt:lpstr>
      <vt:lpstr>Specificatie loonkosten</vt:lpstr>
      <vt:lpstr>percentages ed</vt:lpstr>
      <vt:lpstr>salaristabel PO</vt:lpstr>
      <vt:lpstr>Wijzigingen</vt:lpstr>
      <vt:lpstr>A_11</vt:lpstr>
      <vt:lpstr>A_12</vt:lpstr>
      <vt:lpstr>A_13</vt:lpstr>
      <vt:lpstr>'Specificatie loonkosten'!Afdrukbereik</vt:lpstr>
      <vt:lpstr>D_12</vt:lpstr>
      <vt:lpstr>D_13</vt:lpstr>
      <vt:lpstr>D_14</vt:lpstr>
      <vt:lpstr>D_15</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 Jacobs</dc:creator>
  <cp:keywords/>
  <dc:description/>
  <cp:lastModifiedBy>Peter de Vette</cp:lastModifiedBy>
  <cp:revision/>
  <cp:lastPrinted>2025-04-23T12:11:29Z</cp:lastPrinted>
  <dcterms:created xsi:type="dcterms:W3CDTF">2018-05-02T09:44:49Z</dcterms:created>
  <dcterms:modified xsi:type="dcterms:W3CDTF">2026-06-18T06:49:07Z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206000</vt:r8>
  </property>
  <property fmtid="{D5CDD505-2E9C-101B-9397-08002B2CF9AE}" pid="4" name="MediaServiceImageTags">
    <vt:lpwstr/>
  </property>
</Properties>
</file>